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9320" windowHeight="9165" firstSheet="2" activeTab="10"/>
  </bookViews>
  <sheets>
    <sheet name="งบแสดงฐานะการเงิน" sheetId="1" r:id="rId1"/>
    <sheet name="หมายเหตุ1" sheetId="16" r:id="rId2"/>
    <sheet name="หมายเหตุ2" sheetId="2" r:id="rId3"/>
    <sheet name="หมายเหตุ3-5" sheetId="3" r:id="rId4"/>
    <sheet name="หมายเหตุ6" sheetId="17" r:id="rId5"/>
    <sheet name="หมายเหตุ 7" sheetId="4" r:id="rId6"/>
    <sheet name="หมายเหตุ8" sheetId="7" r:id="rId7"/>
    <sheet name="หมายเหตุ9" sheetId="9" r:id="rId8"/>
    <sheet name="กบท" sheetId="26" r:id="rId9"/>
    <sheet name="แนบท้าย 9" sheetId="10" r:id="rId10"/>
    <sheet name="งบแสดงผลการดำเนินงาน" sheetId="13" r:id="rId11"/>
    <sheet name="แยกแผนงาน" sheetId="22" r:id="rId12"/>
    <sheet name="งบแสดงผลฯจ่ายจากเงินสะสม" sheetId="20" r:id="rId13"/>
    <sheet name="หมายเหตุประกอบผลการดำเนินงาน1-2" sheetId="15" r:id="rId14"/>
    <sheet name="งบทดลองก่อนปิดบัญชี" sheetId="27" r:id="rId15"/>
    <sheet name="งบทดลองหลังปิดบัญชี" sheetId="24" r:id="rId16"/>
    <sheet name="กระดาษทำการ (ปป)" sheetId="2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4">งบทดลองก่อนปิดบัญชี!$A$1:$L$76</definedName>
    <definedName name="_xlnm.Print_Area" localSheetId="15">งบทดลองหลังปิดบัญชี!$A$1:$L$53</definedName>
    <definedName name="_xlnm.Print_Titles" localSheetId="5">'หมายเหตุ 7'!$1:$3</definedName>
    <definedName name="_xlnm.Print_Titles" localSheetId="4">หมายเหตุ6!$1:$6</definedName>
  </definedNames>
  <calcPr calcId="144525"/>
</workbook>
</file>

<file path=xl/calcChain.xml><?xml version="1.0" encoding="utf-8"?>
<calcChain xmlns="http://schemas.openxmlformats.org/spreadsheetml/2006/main">
  <c r="E11" i="10" l="1"/>
  <c r="G10" i="10"/>
  <c r="H10" i="10" s="1"/>
  <c r="C17" i="2" l="1"/>
  <c r="E7" i="2"/>
  <c r="E9" i="2"/>
  <c r="E12" i="2"/>
  <c r="C27" i="2"/>
  <c r="C8" i="2"/>
  <c r="C16" i="2"/>
  <c r="C15" i="2"/>
  <c r="C14" i="2"/>
  <c r="C12" i="2"/>
  <c r="E8" i="2"/>
  <c r="E10" i="2"/>
  <c r="E11" i="2"/>
  <c r="C9" i="2"/>
  <c r="C10" i="2"/>
  <c r="C11" i="2"/>
  <c r="C13" i="2"/>
  <c r="C18" i="2"/>
  <c r="C19" i="2"/>
  <c r="C20" i="2"/>
  <c r="C21" i="2"/>
  <c r="C22" i="2"/>
  <c r="C23" i="2"/>
  <c r="C24" i="2"/>
  <c r="C25" i="2"/>
  <c r="C26" i="2"/>
  <c r="C28" i="2"/>
  <c r="C29" i="2"/>
  <c r="P101" i="17" l="1"/>
  <c r="P100" i="17"/>
  <c r="P35" i="17"/>
  <c r="P34" i="17"/>
  <c r="P33" i="17"/>
  <c r="P83" i="17"/>
  <c r="P82" i="17"/>
  <c r="P116" i="17"/>
  <c r="E11" i="9" l="1"/>
  <c r="E10" i="9"/>
  <c r="I12" i="9" l="1"/>
  <c r="J20" i="25" l="1"/>
  <c r="J21" i="25"/>
  <c r="I11" i="25"/>
  <c r="I12" i="25"/>
  <c r="I13" i="25"/>
  <c r="I15" i="25"/>
  <c r="I16" i="25"/>
  <c r="C44" i="25"/>
  <c r="F44" i="25" s="1"/>
  <c r="C43" i="25"/>
  <c r="F43" i="25" s="1"/>
  <c r="C42" i="25"/>
  <c r="F42" i="25" s="1"/>
  <c r="C41" i="25"/>
  <c r="F41" i="25" s="1"/>
  <c r="C40" i="25"/>
  <c r="F40" i="25" s="1"/>
  <c r="C39" i="25"/>
  <c r="F39" i="25" s="1"/>
  <c r="C38" i="25"/>
  <c r="F38" i="25" s="1"/>
  <c r="C37" i="25"/>
  <c r="F37" i="25" s="1"/>
  <c r="C36" i="25"/>
  <c r="F36" i="25" s="1"/>
  <c r="C35" i="25"/>
  <c r="F35" i="25" s="1"/>
  <c r="C34" i="25"/>
  <c r="F34" i="25" s="1"/>
  <c r="C33" i="25"/>
  <c r="F33" i="25" s="1"/>
  <c r="C32" i="25"/>
  <c r="F32" i="25" s="1"/>
  <c r="C31" i="25"/>
  <c r="F31" i="25" s="1"/>
  <c r="C30" i="25"/>
  <c r="F30" i="25" s="1"/>
  <c r="C29" i="25"/>
  <c r="F29" i="25" s="1"/>
  <c r="C28" i="25"/>
  <c r="F28" i="25" s="1"/>
  <c r="C27" i="25"/>
  <c r="F27" i="25" s="1"/>
  <c r="C26" i="25"/>
  <c r="F26" i="25" s="1"/>
  <c r="C25" i="25"/>
  <c r="F25" i="25" s="1"/>
  <c r="C24" i="25"/>
  <c r="F24" i="25" s="1"/>
  <c r="C23" i="25"/>
  <c r="F23" i="25" s="1"/>
  <c r="D22" i="25"/>
  <c r="E22" i="25" s="1"/>
  <c r="D21" i="25"/>
  <c r="D20" i="25"/>
  <c r="D18" i="25"/>
  <c r="J18" i="25" s="1"/>
  <c r="D17" i="25"/>
  <c r="D19" i="25" s="1"/>
  <c r="J19" i="25" s="1"/>
  <c r="C16" i="25"/>
  <c r="C15" i="25"/>
  <c r="C14" i="25"/>
  <c r="I14" i="25" s="1"/>
  <c r="C13" i="25"/>
  <c r="C12" i="25"/>
  <c r="C11" i="25"/>
  <c r="C10" i="25"/>
  <c r="I10" i="25" s="1"/>
  <c r="C9" i="25"/>
  <c r="I9" i="25" s="1"/>
  <c r="C8" i="25"/>
  <c r="I8" i="25" s="1"/>
  <c r="C7" i="25"/>
  <c r="I7" i="25" s="1"/>
  <c r="C6" i="25"/>
  <c r="I6" i="25" s="1"/>
  <c r="C5" i="25"/>
  <c r="I5" i="25" s="1"/>
  <c r="I70" i="15"/>
  <c r="C45" i="25" l="1"/>
  <c r="J17" i="25"/>
  <c r="I50" i="15" l="1"/>
  <c r="C15" i="24" l="1"/>
  <c r="C16" i="24"/>
  <c r="C11" i="24"/>
  <c r="C12" i="24"/>
  <c r="C13" i="24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D22" i="27"/>
  <c r="D21" i="27"/>
  <c r="D20" i="27"/>
  <c r="D18" i="27"/>
  <c r="D18" i="24" s="1"/>
  <c r="D17" i="27"/>
  <c r="D17" i="24" s="1"/>
  <c r="C16" i="27"/>
  <c r="C15" i="27"/>
  <c r="C14" i="27"/>
  <c r="C14" i="24" s="1"/>
  <c r="C13" i="27"/>
  <c r="C12" i="27"/>
  <c r="C11" i="27"/>
  <c r="C10" i="27"/>
  <c r="C10" i="24" s="1"/>
  <c r="C9" i="27"/>
  <c r="C9" i="24" s="1"/>
  <c r="C8" i="27"/>
  <c r="C8" i="24" s="1"/>
  <c r="C7" i="27"/>
  <c r="C7" i="24" s="1"/>
  <c r="C6" i="27"/>
  <c r="C6" i="24" s="1"/>
  <c r="C5" i="27"/>
  <c r="C5" i="24" s="1"/>
  <c r="C22" i="24" s="1"/>
  <c r="C45" i="27" l="1"/>
  <c r="D19" i="27"/>
  <c r="D19" i="24" s="1"/>
  <c r="D45" i="27" l="1"/>
  <c r="AB46" i="15" l="1"/>
  <c r="R52" i="15"/>
  <c r="R46" i="15"/>
  <c r="I46" i="15"/>
  <c r="I5" i="15"/>
  <c r="I31" i="15"/>
  <c r="R5" i="15"/>
  <c r="R10" i="15" s="1"/>
  <c r="I28" i="15"/>
  <c r="H18" i="15"/>
  <c r="H19" i="15"/>
  <c r="I25" i="15"/>
  <c r="I13" i="15"/>
  <c r="I10" i="15"/>
  <c r="E8" i="20"/>
  <c r="E9" i="20"/>
  <c r="E8" i="13"/>
  <c r="E9" i="13"/>
  <c r="F52" i="20"/>
  <c r="G52" i="20" s="1"/>
  <c r="F53" i="20"/>
  <c r="G53" i="20" s="1"/>
  <c r="F54" i="20"/>
  <c r="G54" i="20" s="1"/>
  <c r="F55" i="20"/>
  <c r="G55" i="20" s="1"/>
  <c r="F56" i="20"/>
  <c r="G56" i="20" s="1"/>
  <c r="F57" i="20"/>
  <c r="G57" i="20" s="1"/>
  <c r="F58" i="20"/>
  <c r="G58" i="20" s="1"/>
  <c r="F60" i="20"/>
  <c r="F14" i="20" s="1"/>
  <c r="F17" i="20" s="1"/>
  <c r="F61" i="20"/>
  <c r="G61" i="20" s="1"/>
  <c r="F62" i="20"/>
  <c r="G62" i="20" s="1"/>
  <c r="F59" i="20"/>
  <c r="G59" i="20" s="1"/>
  <c r="H75" i="20"/>
  <c r="G73" i="20"/>
  <c r="C73" i="20"/>
  <c r="D72" i="20"/>
  <c r="G72" i="20" s="1"/>
  <c r="C72" i="20"/>
  <c r="D71" i="20"/>
  <c r="G71" i="20" s="1"/>
  <c r="C71" i="20"/>
  <c r="G70" i="20"/>
  <c r="C70" i="20"/>
  <c r="D69" i="20"/>
  <c r="G69" i="20" s="1"/>
  <c r="C69" i="20"/>
  <c r="D67" i="20"/>
  <c r="G67" i="20" s="1"/>
  <c r="C67" i="20"/>
  <c r="D66" i="20"/>
  <c r="G66" i="20" s="1"/>
  <c r="C66" i="20"/>
  <c r="D65" i="20"/>
  <c r="D74" i="20" s="1"/>
  <c r="C65" i="20"/>
  <c r="R63" i="20"/>
  <c r="P63" i="20"/>
  <c r="L63" i="20"/>
  <c r="E63" i="20"/>
  <c r="E74" i="20" s="1"/>
  <c r="N63" i="20"/>
  <c r="C62" i="20"/>
  <c r="C61" i="20"/>
  <c r="C60" i="20"/>
  <c r="J63" i="20"/>
  <c r="C59" i="20"/>
  <c r="H63" i="20"/>
  <c r="C58" i="20"/>
  <c r="C57" i="20"/>
  <c r="O63" i="20"/>
  <c r="K63" i="20"/>
  <c r="C56" i="20"/>
  <c r="C55" i="20"/>
  <c r="Q63" i="20"/>
  <c r="M63" i="20"/>
  <c r="I63" i="20"/>
  <c r="C54" i="20"/>
  <c r="C53" i="20"/>
  <c r="C52" i="20"/>
  <c r="G27" i="20"/>
  <c r="C27" i="20"/>
  <c r="D26" i="20"/>
  <c r="G26" i="20" s="1"/>
  <c r="C26" i="20"/>
  <c r="D25" i="20"/>
  <c r="G25" i="20" s="1"/>
  <c r="C25" i="20"/>
  <c r="G24" i="20"/>
  <c r="C24" i="20"/>
  <c r="D23" i="20"/>
  <c r="G23" i="20" s="1"/>
  <c r="C23" i="20"/>
  <c r="D21" i="20"/>
  <c r="G21" i="20" s="1"/>
  <c r="C21" i="20"/>
  <c r="D20" i="20"/>
  <c r="G20" i="20" s="1"/>
  <c r="C20" i="20"/>
  <c r="D19" i="20"/>
  <c r="D28" i="20" s="1"/>
  <c r="C19" i="20"/>
  <c r="C28" i="20" s="1"/>
  <c r="E17" i="20"/>
  <c r="E28" i="20" s="1"/>
  <c r="C16" i="20"/>
  <c r="C15" i="20"/>
  <c r="C14" i="20"/>
  <c r="C13" i="20"/>
  <c r="C12" i="20"/>
  <c r="C11" i="20"/>
  <c r="K10" i="20"/>
  <c r="C10" i="20"/>
  <c r="C9" i="20"/>
  <c r="C8" i="20"/>
  <c r="C7" i="20"/>
  <c r="C6" i="20"/>
  <c r="G60" i="20" l="1"/>
  <c r="F63" i="20"/>
  <c r="C63" i="20"/>
  <c r="R57" i="15"/>
  <c r="I75" i="15"/>
  <c r="I16" i="15"/>
  <c r="C74" i="20"/>
  <c r="G65" i="20"/>
  <c r="G74" i="20" s="1"/>
  <c r="C17" i="20"/>
  <c r="G63" i="20"/>
  <c r="G19" i="20"/>
  <c r="G28" i="20" s="1"/>
  <c r="J10" i="13"/>
  <c r="G75" i="20" l="1"/>
  <c r="D63" i="20"/>
  <c r="E468" i="22"/>
  <c r="E423" i="22"/>
  <c r="E420" i="22"/>
  <c r="E418" i="22"/>
  <c r="E416" i="22"/>
  <c r="E414" i="22"/>
  <c r="F383" i="22"/>
  <c r="G346" i="22"/>
  <c r="D346" i="22" s="1"/>
  <c r="G338" i="22"/>
  <c r="F338" i="22"/>
  <c r="F305" i="22"/>
  <c r="F297" i="22"/>
  <c r="H255" i="22"/>
  <c r="F260" i="22"/>
  <c r="E262" i="22"/>
  <c r="D262" i="22" s="1"/>
  <c r="E259" i="22"/>
  <c r="D259" i="22" s="1"/>
  <c r="E257" i="22"/>
  <c r="E255" i="22"/>
  <c r="E253" i="22"/>
  <c r="E251" i="22"/>
  <c r="F214" i="22"/>
  <c r="G182" i="22"/>
  <c r="G178" i="22"/>
  <c r="D178" i="22" s="1"/>
  <c r="E176" i="22"/>
  <c r="H135" i="22"/>
  <c r="G141" i="22"/>
  <c r="F141" i="22"/>
  <c r="F138" i="22"/>
  <c r="F135" i="22"/>
  <c r="F133" i="22"/>
  <c r="F131" i="22"/>
  <c r="E137" i="22"/>
  <c r="D137" i="22" s="1"/>
  <c r="F129" i="22"/>
  <c r="E135" i="22"/>
  <c r="E133" i="22"/>
  <c r="E131" i="22"/>
  <c r="E129" i="22"/>
  <c r="G92" i="22"/>
  <c r="E96" i="22"/>
  <c r="E94" i="22"/>
  <c r="E92" i="22"/>
  <c r="E90" i="22"/>
  <c r="E88" i="22"/>
  <c r="E55" i="22"/>
  <c r="G55" i="22"/>
  <c r="G53" i="22"/>
  <c r="G51" i="22"/>
  <c r="G49" i="22"/>
  <c r="G47" i="22"/>
  <c r="E59" i="22"/>
  <c r="E58" i="22"/>
  <c r="E56" i="22"/>
  <c r="E54" i="22"/>
  <c r="E53" i="22"/>
  <c r="E51" i="22"/>
  <c r="E49" i="22"/>
  <c r="E47" i="22"/>
  <c r="E46" i="22"/>
  <c r="J13" i="20" l="1"/>
  <c r="I13" i="13"/>
  <c r="D26" i="13"/>
  <c r="D25" i="13"/>
  <c r="D23" i="13"/>
  <c r="D21" i="13"/>
  <c r="D20" i="13"/>
  <c r="D19" i="13"/>
  <c r="F19" i="13" s="1"/>
  <c r="C26" i="13"/>
  <c r="C25" i="13"/>
  <c r="C23" i="13"/>
  <c r="C21" i="13"/>
  <c r="C20" i="13"/>
  <c r="C19" i="13"/>
  <c r="C16" i="13"/>
  <c r="C15" i="13"/>
  <c r="C14" i="13"/>
  <c r="C13" i="13"/>
  <c r="C12" i="13"/>
  <c r="C11" i="13"/>
  <c r="C10" i="13"/>
  <c r="C9" i="13"/>
  <c r="C8" i="13"/>
  <c r="C7" i="13"/>
  <c r="C6" i="13"/>
  <c r="G8" i="10" l="1"/>
  <c r="H8" i="10" s="1"/>
  <c r="G7" i="10"/>
  <c r="H7" i="10" s="1"/>
  <c r="F12" i="7" l="1"/>
  <c r="F11" i="7"/>
  <c r="F10" i="7"/>
  <c r="F9" i="7"/>
  <c r="F8" i="7"/>
  <c r="F7" i="7"/>
  <c r="F6" i="7"/>
  <c r="F5" i="7"/>
  <c r="G21" i="4" l="1"/>
  <c r="G11" i="3"/>
  <c r="G10" i="3"/>
  <c r="G9" i="3"/>
  <c r="G8" i="3"/>
  <c r="G7" i="3"/>
  <c r="G6" i="3"/>
  <c r="E30" i="2" l="1"/>
  <c r="G32" i="4" l="1"/>
  <c r="E50" i="1" s="1"/>
  <c r="J22" i="25"/>
  <c r="I31" i="25"/>
  <c r="I44" i="25"/>
  <c r="I43" i="25"/>
  <c r="I42" i="25"/>
  <c r="I32" i="25"/>
  <c r="I30" i="25"/>
  <c r="I29" i="25"/>
  <c r="I28" i="25"/>
  <c r="I26" i="25"/>
  <c r="I25" i="25"/>
  <c r="I24" i="25"/>
  <c r="H45" i="25"/>
  <c r="G45" i="25"/>
  <c r="J24" i="25" l="1"/>
  <c r="J26" i="25"/>
  <c r="J28" i="25"/>
  <c r="J30" i="25"/>
  <c r="J32" i="25"/>
  <c r="J43" i="25"/>
  <c r="J25" i="25"/>
  <c r="J29" i="25"/>
  <c r="J31" i="25"/>
  <c r="J42" i="25"/>
  <c r="J44" i="25"/>
  <c r="E27" i="25"/>
  <c r="E45" i="25" s="1"/>
  <c r="J27" i="25" l="1"/>
  <c r="I27" i="25"/>
  <c r="F45" i="25"/>
  <c r="I45" i="25" l="1"/>
  <c r="C470" i="22" l="1"/>
  <c r="C429" i="22"/>
  <c r="C389" i="22"/>
  <c r="C349" i="22"/>
  <c r="C308" i="22"/>
  <c r="C266" i="22"/>
  <c r="C225" i="22"/>
  <c r="C185" i="22"/>
  <c r="C144" i="22"/>
  <c r="C103" i="22"/>
  <c r="C62" i="22"/>
  <c r="G14" i="22" l="1"/>
  <c r="G15" i="22"/>
  <c r="G17" i="22"/>
  <c r="G20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1" i="22"/>
  <c r="O6" i="22"/>
  <c r="N8" i="22"/>
  <c r="N10" i="22"/>
  <c r="N12" i="22"/>
  <c r="N14" i="22"/>
  <c r="N17" i="22"/>
  <c r="N18" i="22"/>
  <c r="N19" i="22"/>
  <c r="N20" i="22"/>
  <c r="N21" i="22"/>
  <c r="N6" i="22"/>
  <c r="M7" i="22"/>
  <c r="M8" i="22"/>
  <c r="M9" i="22"/>
  <c r="M10" i="22"/>
  <c r="M11" i="22"/>
  <c r="M12" i="22"/>
  <c r="M13" i="22"/>
  <c r="M14" i="22"/>
  <c r="M15" i="22"/>
  <c r="M17" i="22"/>
  <c r="M18" i="22"/>
  <c r="M19" i="22"/>
  <c r="M20" i="22"/>
  <c r="M21" i="22"/>
  <c r="M6" i="22"/>
  <c r="L7" i="22"/>
  <c r="L8" i="22"/>
  <c r="L9" i="22"/>
  <c r="L10" i="22"/>
  <c r="L12" i="22"/>
  <c r="L14" i="22"/>
  <c r="L15" i="22"/>
  <c r="L16" i="22"/>
  <c r="L17" i="22"/>
  <c r="L18" i="22"/>
  <c r="L19" i="22"/>
  <c r="L20" i="22"/>
  <c r="L6" i="22"/>
  <c r="K7" i="22"/>
  <c r="K8" i="22"/>
  <c r="K9" i="22"/>
  <c r="K10" i="22"/>
  <c r="K12" i="22"/>
  <c r="K13" i="22"/>
  <c r="K14" i="22"/>
  <c r="K15" i="22"/>
  <c r="K17" i="22"/>
  <c r="K18" i="22"/>
  <c r="K20" i="22"/>
  <c r="K21" i="22"/>
  <c r="K6" i="22"/>
  <c r="J8" i="22"/>
  <c r="J10" i="22"/>
  <c r="J12" i="22"/>
  <c r="J14" i="22"/>
  <c r="J15" i="22"/>
  <c r="J17" i="22"/>
  <c r="J18" i="22"/>
  <c r="J19" i="22"/>
  <c r="J20" i="22"/>
  <c r="J21" i="22"/>
  <c r="J6" i="22"/>
  <c r="I7" i="22"/>
  <c r="I8" i="22"/>
  <c r="I9" i="22"/>
  <c r="I10" i="22"/>
  <c r="I12" i="22"/>
  <c r="I13" i="22"/>
  <c r="I14" i="22"/>
  <c r="I15" i="22"/>
  <c r="I16" i="22"/>
  <c r="I17" i="22"/>
  <c r="I18" i="22"/>
  <c r="I19" i="22"/>
  <c r="I20" i="22"/>
  <c r="I21" i="22"/>
  <c r="I6" i="22"/>
  <c r="H7" i="22"/>
  <c r="H8" i="22"/>
  <c r="H9" i="22"/>
  <c r="H10" i="22"/>
  <c r="H11" i="22"/>
  <c r="H12" i="22"/>
  <c r="H14" i="22"/>
  <c r="H15" i="22"/>
  <c r="H16" i="22"/>
  <c r="H17" i="22"/>
  <c r="H18" i="22"/>
  <c r="H20" i="22"/>
  <c r="H21" i="22"/>
  <c r="H6" i="22"/>
  <c r="G6" i="22"/>
  <c r="F17" i="22"/>
  <c r="F18" i="22"/>
  <c r="F20" i="22"/>
  <c r="F21" i="22"/>
  <c r="F6" i="22"/>
  <c r="D468" i="22"/>
  <c r="O20" i="22" s="1"/>
  <c r="F429" i="22"/>
  <c r="D418" i="22"/>
  <c r="N11" i="22" s="1"/>
  <c r="D416" i="22"/>
  <c r="N9" i="22" s="1"/>
  <c r="E389" i="22"/>
  <c r="F389" i="22"/>
  <c r="E349" i="22"/>
  <c r="H349" i="22"/>
  <c r="L13" i="22"/>
  <c r="D302" i="22"/>
  <c r="K16" i="22" s="1"/>
  <c r="D297" i="22"/>
  <c r="K11" i="22" s="1"/>
  <c r="H266" i="22"/>
  <c r="D257" i="22"/>
  <c r="J13" i="22" s="1"/>
  <c r="F266" i="22"/>
  <c r="G266" i="22"/>
  <c r="D251" i="22"/>
  <c r="J7" i="22" s="1"/>
  <c r="D253" i="22"/>
  <c r="J9" i="22" s="1"/>
  <c r="E225" i="22"/>
  <c r="F225" i="22"/>
  <c r="D182" i="22"/>
  <c r="H19" i="22" s="1"/>
  <c r="D176" i="22"/>
  <c r="H13" i="22" s="1"/>
  <c r="K11" i="20" l="1"/>
  <c r="J11" i="13"/>
  <c r="M9" i="20"/>
  <c r="L9" i="13"/>
  <c r="M11" i="20"/>
  <c r="L11" i="13"/>
  <c r="N10" i="20"/>
  <c r="M10" i="13"/>
  <c r="Q10" i="20"/>
  <c r="P10" i="13"/>
  <c r="R6" i="20"/>
  <c r="Q6" i="13"/>
  <c r="D6" i="13" s="1"/>
  <c r="F6" i="13" s="1"/>
  <c r="J13" i="13"/>
  <c r="K13" i="20"/>
  <c r="K16" i="20"/>
  <c r="J16" i="13"/>
  <c r="M8" i="20"/>
  <c r="L8" i="13"/>
  <c r="P9" i="13"/>
  <c r="Q9" i="20"/>
  <c r="L15" i="13"/>
  <c r="M15" i="20"/>
  <c r="M13" i="20"/>
  <c r="L13" i="13"/>
  <c r="N16" i="13"/>
  <c r="O16" i="20"/>
  <c r="E429" i="22"/>
  <c r="D255" i="22"/>
  <c r="J11" i="22" s="1"/>
  <c r="D414" i="22"/>
  <c r="N7" i="22" s="1"/>
  <c r="D383" i="22"/>
  <c r="D338" i="22"/>
  <c r="L11" i="22" s="1"/>
  <c r="E266" i="22"/>
  <c r="D214" i="22"/>
  <c r="D134" i="22"/>
  <c r="G12" i="22" s="1"/>
  <c r="D93" i="22"/>
  <c r="F12" i="22" s="1"/>
  <c r="D95" i="22"/>
  <c r="F14" i="22" s="1"/>
  <c r="D96" i="22"/>
  <c r="I13" i="20" s="1"/>
  <c r="D94" i="22"/>
  <c r="I11" i="20" s="1"/>
  <c r="D88" i="22"/>
  <c r="I8" i="20" s="1"/>
  <c r="D48" i="22"/>
  <c r="E8" i="22" s="1"/>
  <c r="D50" i="22"/>
  <c r="E10" i="22" s="1"/>
  <c r="D52" i="22"/>
  <c r="E12" i="22" s="1"/>
  <c r="D12" i="22" s="1"/>
  <c r="D57" i="22"/>
  <c r="E17" i="22" s="1"/>
  <c r="D17" i="22" s="1"/>
  <c r="D60" i="22"/>
  <c r="E20" i="22" s="1"/>
  <c r="D20" i="22" s="1"/>
  <c r="D61" i="22"/>
  <c r="E21" i="22" s="1"/>
  <c r="D46" i="22"/>
  <c r="O10" i="20" l="1"/>
  <c r="O17" i="20" s="1"/>
  <c r="N10" i="13"/>
  <c r="Q8" i="20"/>
  <c r="P8" i="13"/>
  <c r="R17" i="20"/>
  <c r="D6" i="20"/>
  <c r="M10" i="20"/>
  <c r="L10" i="13"/>
  <c r="K17" i="20"/>
  <c r="E6" i="22"/>
  <c r="F13" i="22"/>
  <c r="H11" i="13"/>
  <c r="F7" i="22"/>
  <c r="H8" i="13"/>
  <c r="F15" i="22"/>
  <c r="H13" i="13"/>
  <c r="D47" i="22"/>
  <c r="D129" i="22"/>
  <c r="D133" i="22"/>
  <c r="J10" i="20" s="1"/>
  <c r="D225" i="22"/>
  <c r="I11" i="22"/>
  <c r="D389" i="22"/>
  <c r="M16" i="22"/>
  <c r="D97" i="22"/>
  <c r="F16" i="22" s="1"/>
  <c r="D135" i="22"/>
  <c r="J11" i="20" s="1"/>
  <c r="J8" i="20" l="1"/>
  <c r="I8" i="13"/>
  <c r="G6" i="20"/>
  <c r="P14" i="20"/>
  <c r="O14" i="13"/>
  <c r="K10" i="13"/>
  <c r="L10" i="20"/>
  <c r="L17" i="20" s="1"/>
  <c r="D6" i="22"/>
  <c r="H7" i="20"/>
  <c r="G7" i="13"/>
  <c r="D7" i="13" s="1"/>
  <c r="F7" i="13" s="1"/>
  <c r="G7" i="22"/>
  <c r="G13" i="22"/>
  <c r="I11" i="13"/>
  <c r="G11" i="22"/>
  <c r="I10" i="13"/>
  <c r="E7" i="22"/>
  <c r="D7" i="22" s="1"/>
  <c r="H8" i="20" l="1"/>
  <c r="D8" i="20" s="1"/>
  <c r="G8" i="20" s="1"/>
  <c r="G8" i="13"/>
  <c r="D8" i="13" s="1"/>
  <c r="F8" i="13" s="1"/>
  <c r="P17" i="20"/>
  <c r="D7" i="20"/>
  <c r="F25" i="13"/>
  <c r="F20" i="13"/>
  <c r="F21" i="13"/>
  <c r="F23" i="13"/>
  <c r="F24" i="13"/>
  <c r="F26" i="13"/>
  <c r="F27" i="13"/>
  <c r="C24" i="13"/>
  <c r="C27" i="13"/>
  <c r="G7" i="20" l="1"/>
  <c r="D28" i="13"/>
  <c r="D3" i="26" s="1"/>
  <c r="I34" i="15" l="1"/>
  <c r="I37" i="15" s="1"/>
  <c r="G349" i="22" l="1"/>
  <c r="F349" i="22"/>
  <c r="D305" i="22"/>
  <c r="G143" i="22"/>
  <c r="D308" i="22" l="1"/>
  <c r="K19" i="22"/>
  <c r="G103" i="22"/>
  <c r="D100" i="22"/>
  <c r="F19" i="22" s="1"/>
  <c r="D92" i="22"/>
  <c r="I10" i="20" s="1"/>
  <c r="D91" i="22"/>
  <c r="F10" i="22" s="1"/>
  <c r="D90" i="22"/>
  <c r="I9" i="20" s="1"/>
  <c r="I17" i="20" s="1"/>
  <c r="D89" i="22"/>
  <c r="F8" i="22" s="1"/>
  <c r="E470" i="22"/>
  <c r="D423" i="22"/>
  <c r="N16" i="22" s="1"/>
  <c r="D422" i="22"/>
  <c r="N15" i="22" s="1"/>
  <c r="D420" i="22"/>
  <c r="N13" i="22" s="1"/>
  <c r="D348" i="22"/>
  <c r="L21" i="22" s="1"/>
  <c r="E308" i="22"/>
  <c r="D260" i="22"/>
  <c r="J16" i="22" s="1"/>
  <c r="H185" i="22"/>
  <c r="F185" i="22"/>
  <c r="G185" i="22"/>
  <c r="E185" i="22"/>
  <c r="G144" i="22"/>
  <c r="E143" i="22"/>
  <c r="D143" i="22" s="1"/>
  <c r="G21" i="22" s="1"/>
  <c r="D21" i="22" s="1"/>
  <c r="E141" i="22"/>
  <c r="D141" i="22" s="1"/>
  <c r="G19" i="22" s="1"/>
  <c r="D140" i="22"/>
  <c r="G18" i="22" s="1"/>
  <c r="H144" i="22"/>
  <c r="D138" i="22"/>
  <c r="G16" i="22" s="1"/>
  <c r="D132" i="22"/>
  <c r="G10" i="22" s="1"/>
  <c r="F144" i="22"/>
  <c r="D131" i="22"/>
  <c r="D130" i="22"/>
  <c r="G8" i="22" s="1"/>
  <c r="F103" i="22"/>
  <c r="F62" i="22"/>
  <c r="G59" i="22"/>
  <c r="G56" i="22"/>
  <c r="G54" i="22"/>
  <c r="D8" i="22" l="1"/>
  <c r="D10" i="22"/>
  <c r="J9" i="20"/>
  <c r="I9" i="13"/>
  <c r="J16" i="20"/>
  <c r="I16" i="13"/>
  <c r="P11" i="13"/>
  <c r="Q11" i="20"/>
  <c r="Q14" i="20"/>
  <c r="P14" i="13"/>
  <c r="N16" i="20"/>
  <c r="N17" i="20" s="1"/>
  <c r="M16" i="13"/>
  <c r="I14" i="13"/>
  <c r="J14" i="20"/>
  <c r="L14" i="13"/>
  <c r="M14" i="20"/>
  <c r="M17" i="20" s="1"/>
  <c r="G9" i="22"/>
  <c r="F9" i="22"/>
  <c r="H9" i="13"/>
  <c r="F11" i="22"/>
  <c r="H10" i="13"/>
  <c r="D51" i="22"/>
  <c r="E11" i="22" s="1"/>
  <c r="D429" i="22"/>
  <c r="D349" i="22"/>
  <c r="D56" i="22"/>
  <c r="D54" i="22"/>
  <c r="D58" i="22"/>
  <c r="D144" i="22"/>
  <c r="D49" i="22"/>
  <c r="D53" i="22"/>
  <c r="D55" i="22"/>
  <c r="D59" i="22"/>
  <c r="G62" i="22"/>
  <c r="G22" i="22"/>
  <c r="K22" i="22"/>
  <c r="E62" i="22"/>
  <c r="L22" i="22"/>
  <c r="E144" i="22"/>
  <c r="N22" i="22"/>
  <c r="F22" i="22"/>
  <c r="D103" i="22"/>
  <c r="E103" i="22"/>
  <c r="F308" i="22"/>
  <c r="Q17" i="20" l="1"/>
  <c r="D11" i="22"/>
  <c r="G10" i="13"/>
  <c r="D10" i="13" s="1"/>
  <c r="H10" i="20"/>
  <c r="F10" i="13"/>
  <c r="J17" i="20"/>
  <c r="E15" i="22"/>
  <c r="E9" i="22"/>
  <c r="E18" i="22"/>
  <c r="E16" i="22"/>
  <c r="E19" i="22"/>
  <c r="E13" i="22"/>
  <c r="E14" i="22"/>
  <c r="I22" i="22"/>
  <c r="D266" i="22"/>
  <c r="E22" i="22"/>
  <c r="D62" i="22"/>
  <c r="C22" i="22"/>
  <c r="D470" i="22"/>
  <c r="M22" i="22"/>
  <c r="D185" i="22"/>
  <c r="J22" i="22"/>
  <c r="D9" i="22" l="1"/>
  <c r="H9" i="20"/>
  <c r="G9" i="13"/>
  <c r="D9" i="13" s="1"/>
  <c r="D15" i="22"/>
  <c r="H13" i="20"/>
  <c r="D13" i="20" s="1"/>
  <c r="G13" i="20" s="1"/>
  <c r="G13" i="13"/>
  <c r="D13" i="13" s="1"/>
  <c r="F13" i="13" s="1"/>
  <c r="D14" i="22"/>
  <c r="G12" i="13"/>
  <c r="D12" i="13" s="1"/>
  <c r="F12" i="13" s="1"/>
  <c r="H12" i="20"/>
  <c r="D13" i="22"/>
  <c r="H11" i="20"/>
  <c r="D11" i="20" s="1"/>
  <c r="G11" i="20" s="1"/>
  <c r="G11" i="13"/>
  <c r="D11" i="13" s="1"/>
  <c r="F11" i="13" s="1"/>
  <c r="D19" i="22"/>
  <c r="G16" i="13"/>
  <c r="D16" i="13" s="1"/>
  <c r="F16" i="13" s="1"/>
  <c r="H16" i="20"/>
  <c r="D16" i="22"/>
  <c r="H14" i="20"/>
  <c r="D14" i="20" s="1"/>
  <c r="G14" i="20" s="1"/>
  <c r="G14" i="13"/>
  <c r="D14" i="13" s="1"/>
  <c r="F14" i="13" s="1"/>
  <c r="D18" i="22"/>
  <c r="H15" i="20"/>
  <c r="D15" i="20" s="1"/>
  <c r="G15" i="20" s="1"/>
  <c r="G15" i="13"/>
  <c r="D15" i="13" s="1"/>
  <c r="F15" i="13" s="1"/>
  <c r="D10" i="20"/>
  <c r="G10" i="20" s="1"/>
  <c r="F9" i="13"/>
  <c r="H22" i="22"/>
  <c r="O22" i="22"/>
  <c r="D17" i="13" l="1"/>
  <c r="D9" i="20"/>
  <c r="H17" i="20"/>
  <c r="D16" i="20"/>
  <c r="G16" i="20" s="1"/>
  <c r="D12" i="20"/>
  <c r="G12" i="20" s="1"/>
  <c r="D22" i="22"/>
  <c r="G29" i="13"/>
  <c r="D4" i="26"/>
  <c r="D5" i="26" s="1"/>
  <c r="D6" i="26" s="1"/>
  <c r="D7" i="26" s="1"/>
  <c r="G9" i="10"/>
  <c r="H9" i="10" s="1"/>
  <c r="G9" i="20" l="1"/>
  <c r="G17" i="20" s="1"/>
  <c r="G29" i="20" s="1"/>
  <c r="D17" i="20"/>
  <c r="F11" i="10"/>
  <c r="E13" i="9" s="1"/>
  <c r="H22" i="9" s="1"/>
  <c r="D11" i="10"/>
  <c r="E17" i="13" l="1"/>
  <c r="E28" i="13" s="1"/>
  <c r="O118" i="17" l="1"/>
  <c r="P115" i="17"/>
  <c r="P114" i="17"/>
  <c r="P113" i="17"/>
  <c r="P112" i="17"/>
  <c r="P111" i="17"/>
  <c r="Q110" i="17"/>
  <c r="Q111" i="17" s="1"/>
  <c r="Q112" i="17" s="1"/>
  <c r="Q113" i="17" s="1"/>
  <c r="Q114" i="17" s="1"/>
  <c r="Q115" i="17" s="1"/>
  <c r="Q116" i="17" s="1"/>
  <c r="Q118" i="17" s="1"/>
  <c r="P110" i="17"/>
  <c r="O109" i="17"/>
  <c r="P108" i="17"/>
  <c r="P107" i="17"/>
  <c r="P106" i="17"/>
  <c r="P105" i="17"/>
  <c r="Q104" i="17"/>
  <c r="Q105" i="17" s="1"/>
  <c r="Q106" i="17" s="1"/>
  <c r="Q107" i="17" s="1"/>
  <c r="P104" i="17"/>
  <c r="P109" i="17" s="1"/>
  <c r="O103" i="17"/>
  <c r="P99" i="17"/>
  <c r="P98" i="17"/>
  <c r="Q97" i="17"/>
  <c r="P97" i="17"/>
  <c r="P96" i="17"/>
  <c r="O96" i="17"/>
  <c r="Q91" i="17"/>
  <c r="Q96" i="17" s="1"/>
  <c r="O90" i="17"/>
  <c r="P86" i="17"/>
  <c r="Q85" i="17"/>
  <c r="Q86" i="17" s="1"/>
  <c r="Q90" i="17" s="1"/>
  <c r="P85" i="17"/>
  <c r="P90" i="17" s="1"/>
  <c r="O84" i="17"/>
  <c r="P81" i="17"/>
  <c r="P80" i="17"/>
  <c r="Q79" i="17"/>
  <c r="P79" i="17"/>
  <c r="O78" i="17"/>
  <c r="P74" i="17"/>
  <c r="Q73" i="17"/>
  <c r="Q74" i="17" s="1"/>
  <c r="Q78" i="17" s="1"/>
  <c r="P73" i="17"/>
  <c r="P78" i="17" s="1"/>
  <c r="P72" i="17"/>
  <c r="O72" i="17"/>
  <c r="Q67" i="17"/>
  <c r="Q72" i="17" s="1"/>
  <c r="P66" i="17"/>
  <c r="O66" i="17"/>
  <c r="Q61" i="17"/>
  <c r="Q66" i="17" s="1"/>
  <c r="O60" i="17"/>
  <c r="P59" i="17"/>
  <c r="P58" i="17"/>
  <c r="P57" i="17"/>
  <c r="P56" i="17"/>
  <c r="Q55" i="17"/>
  <c r="Q56" i="17" s="1"/>
  <c r="Q57" i="17" s="1"/>
  <c r="Q60" i="17" s="1"/>
  <c r="P55" i="17"/>
  <c r="P54" i="17"/>
  <c r="O54" i="17"/>
  <c r="Q49" i="17"/>
  <c r="Q54" i="17" s="1"/>
  <c r="O48" i="17"/>
  <c r="P47" i="17"/>
  <c r="P46" i="17"/>
  <c r="P45" i="17"/>
  <c r="P44" i="17"/>
  <c r="Q43" i="17"/>
  <c r="Q44" i="17" s="1"/>
  <c r="Q48" i="17" s="1"/>
  <c r="P43" i="17"/>
  <c r="O42" i="17"/>
  <c r="P41" i="17"/>
  <c r="P40" i="17"/>
  <c r="P39" i="17"/>
  <c r="P38" i="17"/>
  <c r="Q37" i="17"/>
  <c r="Q38" i="17" s="1"/>
  <c r="Q39" i="17" s="1"/>
  <c r="Q40" i="17" s="1"/>
  <c r="Q41" i="17" s="1"/>
  <c r="Q42" i="17" s="1"/>
  <c r="P37" i="17"/>
  <c r="O36" i="17"/>
  <c r="P32" i="17"/>
  <c r="P31" i="17"/>
  <c r="P30" i="17"/>
  <c r="P29" i="17"/>
  <c r="P28" i="17"/>
  <c r="P27" i="17"/>
  <c r="P26" i="17"/>
  <c r="Q25" i="17"/>
  <c r="Q26" i="17" s="1"/>
  <c r="Q27" i="17" s="1"/>
  <c r="Q28" i="17" s="1"/>
  <c r="Q29" i="17" s="1"/>
  <c r="Q30" i="17" s="1"/>
  <c r="Q31" i="17" s="1"/>
  <c r="Q32" i="17" s="1"/>
  <c r="P25" i="17"/>
  <c r="O24" i="17"/>
  <c r="P22" i="17"/>
  <c r="P21" i="17"/>
  <c r="P20" i="17"/>
  <c r="P19" i="17"/>
  <c r="Q18" i="17"/>
  <c r="Q19" i="17" s="1"/>
  <c r="Q20" i="17" s="1"/>
  <c r="Q21" i="17" s="1"/>
  <c r="Q22" i="17" s="1"/>
  <c r="Q24" i="17" s="1"/>
  <c r="P18" i="17"/>
  <c r="O17" i="17"/>
  <c r="P15" i="17"/>
  <c r="P14" i="17"/>
  <c r="P13" i="17"/>
  <c r="Q12" i="17"/>
  <c r="Q13" i="17" s="1"/>
  <c r="Q14" i="17" s="1"/>
  <c r="Q15" i="17" s="1"/>
  <c r="Q16" i="17" s="1"/>
  <c r="Q17" i="17" s="1"/>
  <c r="P12" i="17"/>
  <c r="O11" i="17"/>
  <c r="P10" i="17"/>
  <c r="P9" i="17"/>
  <c r="P8" i="17"/>
  <c r="Q7" i="17"/>
  <c r="Q8" i="17" s="1"/>
  <c r="Q9" i="17" s="1"/>
  <c r="P7" i="17"/>
  <c r="P36" i="17" l="1"/>
  <c r="P84" i="17"/>
  <c r="P103" i="17"/>
  <c r="Q33" i="17"/>
  <c r="Q34" i="17" s="1"/>
  <c r="Q35" i="17" s="1"/>
  <c r="Q36" i="17" s="1"/>
  <c r="P42" i="17"/>
  <c r="P11" i="17"/>
  <c r="P17" i="17"/>
  <c r="P24" i="17"/>
  <c r="P48" i="17"/>
  <c r="P60" i="17"/>
  <c r="Q98" i="17"/>
  <c r="Q99" i="17" s="1"/>
  <c r="P118" i="17"/>
  <c r="Q80" i="17"/>
  <c r="Q81" i="17" s="1"/>
  <c r="Q82" i="17" s="1"/>
  <c r="Q83" i="17" s="1"/>
  <c r="Q84" i="17" s="1"/>
  <c r="Q10" i="17"/>
  <c r="Q11" i="17"/>
  <c r="Q108" i="17"/>
  <c r="Q109" i="17"/>
  <c r="Q100" i="17" l="1"/>
  <c r="Q101" i="17" s="1"/>
  <c r="Q103" i="17" s="1"/>
  <c r="Q119" i="17" s="1"/>
  <c r="E16" i="1" s="1"/>
  <c r="G5" i="3"/>
  <c r="E58" i="1" l="1"/>
  <c r="E25" i="1"/>
  <c r="F28" i="13" l="1"/>
  <c r="C28" i="13"/>
  <c r="Q17" i="13"/>
  <c r="P17" i="13"/>
  <c r="O17" i="13"/>
  <c r="N17" i="13"/>
  <c r="M17" i="13"/>
  <c r="L17" i="13"/>
  <c r="K17" i="13"/>
  <c r="J17" i="13"/>
  <c r="I17" i="13"/>
  <c r="H17" i="13"/>
  <c r="G17" i="13"/>
  <c r="C17" i="13"/>
  <c r="F17" i="13" l="1"/>
  <c r="F29" i="13" s="1"/>
  <c r="H11" i="10"/>
  <c r="E49" i="1"/>
  <c r="G28" i="3"/>
  <c r="G29" i="3" s="1"/>
  <c r="E14" i="1" s="1"/>
  <c r="G20" i="3"/>
  <c r="E13" i="1" s="1"/>
  <c r="G13" i="3"/>
  <c r="E9" i="1" s="1"/>
  <c r="E46" i="1"/>
  <c r="D8" i="26" l="1"/>
  <c r="D9" i="26" s="1"/>
  <c r="D12" i="26" s="1"/>
  <c r="E20" i="1"/>
  <c r="E26" i="1" s="1"/>
  <c r="F19" i="9"/>
  <c r="G11" i="10"/>
  <c r="C30" i="2"/>
  <c r="E6" i="1" l="1"/>
  <c r="J23" i="25"/>
  <c r="F13" i="7" l="1"/>
  <c r="E52" i="1" s="1"/>
  <c r="E54" i="1" l="1"/>
  <c r="E59" i="1" s="1"/>
  <c r="D45" i="25" l="1"/>
  <c r="J45" i="25" l="1"/>
  <c r="D6" i="9" l="1"/>
  <c r="D8" i="9" l="1"/>
  <c r="D21" i="24" s="1"/>
  <c r="E62" i="1" s="1"/>
  <c r="D20" i="24"/>
  <c r="D22" i="24" s="1"/>
  <c r="E9" i="9" l="1"/>
  <c r="F14" i="9" s="1"/>
  <c r="F15" i="9" s="1"/>
  <c r="F21" i="9" s="1"/>
  <c r="F22" i="9" s="1"/>
  <c r="I23" i="9" s="1"/>
  <c r="E61" i="1"/>
  <c r="E63" i="1" s="1"/>
  <c r="E64" i="1" s="1"/>
  <c r="G26" i="1" s="1"/>
</calcChain>
</file>

<file path=xl/comments1.xml><?xml version="1.0" encoding="utf-8"?>
<comments xmlns="http://schemas.openxmlformats.org/spreadsheetml/2006/main">
  <authors>
    <author>DAPPs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DAPPs:</t>
        </r>
        <r>
          <rPr>
            <sz val="8"/>
            <color indexed="81"/>
            <rFont val="Tahoma"/>
            <family val="2"/>
          </rPr>
          <t xml:space="preserve">
989540.84+1026503</t>
        </r>
      </text>
    </comment>
  </commentList>
</comments>
</file>

<file path=xl/comments2.xml><?xml version="1.0" encoding="utf-8"?>
<comments xmlns="http://schemas.openxmlformats.org/spreadsheetml/2006/main">
  <authors>
    <author>DAPPs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DAPPs:</t>
        </r>
        <r>
          <rPr>
            <sz val="8"/>
            <color indexed="81"/>
            <rFont val="Tahoma"/>
            <family val="2"/>
          </rPr>
          <t xml:space="preserve">
989540.84+1026503</t>
        </r>
      </text>
    </comment>
  </commentList>
</comments>
</file>

<file path=xl/sharedStrings.xml><?xml version="1.0" encoding="utf-8"?>
<sst xmlns="http://schemas.openxmlformats.org/spreadsheetml/2006/main" count="1534" uniqueCount="548">
  <si>
    <t>เทศบาลตำบลแม่คือ</t>
  </si>
  <si>
    <t>งบแสดงฐานะการเงิน</t>
  </si>
  <si>
    <t>ทรัพย์สิน</t>
  </si>
  <si>
    <t>เงินสด เงินฝากธนาคารและเงินฝากคลังจังหวัด (หมายเหตุ 2)</t>
  </si>
  <si>
    <t>ลูกหนี้เงินยืมเงินสะสม</t>
  </si>
  <si>
    <t>เงินทุนสำรองเงินสะสม</t>
  </si>
  <si>
    <t>หมายเหตุ</t>
  </si>
  <si>
    <t>สินทรัพย์</t>
  </si>
  <si>
    <t>สินทรัพย์หมุนเวียน</t>
  </si>
  <si>
    <t>เงินฝาก ก.ส.อ.</t>
  </si>
  <si>
    <t>เงินฝาก ก.ส.ท.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</si>
  <si>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</si>
  <si>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</si>
  <si>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</si>
  <si>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</si>
  <si>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ลูกหนี้อื่นๆ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</si>
  <si>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</si>
  <si>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</si>
  <si>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</si>
  <si>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</si>
  <si>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</si>
  <si>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</si>
  <si>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</si>
  <si>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</si>
  <si>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</si>
  <si>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</si>
  <si>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</si>
  <si>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</si>
  <si>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</si>
  <si>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</si>
  <si>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</si>
  <si>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</si>
  <si>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</si>
  <si>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</si>
  <si>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</si>
  <si>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</si>
  <si>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</si>
  <si>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</si>
  <si>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</si>
  <si>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</si>
  <si>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</si>
  <si>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ประเภททรัพย์สิน</t>
  </si>
  <si>
    <t>แหล่งที่มาของทรัพย์สิน</t>
  </si>
  <si>
    <t xml:space="preserve">ชื่อ </t>
  </si>
  <si>
    <t>จำนวนเงิน</t>
  </si>
  <si>
    <t>ก.  อสังหาริมทรัพย์</t>
  </si>
  <si>
    <t>อาคาร</t>
  </si>
  <si>
    <t>ที่ดิน</t>
  </si>
  <si>
    <t>สิ่งก่อสร้าง</t>
  </si>
  <si>
    <t>ข.  สังหาริมทรัพย์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</si>
  <si>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</si>
  <si>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</si>
  <si>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</si>
  <si>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</si>
  <si>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</si>
  <si>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</si>
  <si>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</si>
  <si>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</si>
  <si>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</si>
  <si>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</si>
  <si>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</si>
  <si>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</si>
  <si>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</si>
  <si>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</si>
  <si>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ครุภัณฑ์ดนตรีและนาฏศิลป์</t>
  </si>
  <si>
    <t>ครุภัณฑ์คอมพิวเตอร์</t>
  </si>
  <si>
    <t>ค่าบำรุงรักษาและปรับปรุงครุภัณฑ์</t>
  </si>
  <si>
    <t>รวม</t>
  </si>
  <si>
    <t>หมายเหตุประกอบงบแสดงฐานะการเงิน</t>
  </si>
  <si>
    <t>หมายเหตุ 2 งบทรัพย์สิน</t>
  </si>
  <si>
    <t xml:space="preserve">เงินสด </t>
  </si>
  <si>
    <t>เงินฝากธนาคาร</t>
  </si>
  <si>
    <t>ประเภทออมทรัพย์</t>
  </si>
  <si>
    <t>ประเภทประจำ</t>
  </si>
  <si>
    <t>หมายเหตุ 3 เงินสดและเงินฝากธนาคาร</t>
  </si>
  <si>
    <t>ธกส.</t>
  </si>
  <si>
    <t>เลขที่</t>
  </si>
  <si>
    <t>491-2-67288-7</t>
  </si>
  <si>
    <t>กรุงไทย</t>
  </si>
  <si>
    <t>553-0-22213-7</t>
  </si>
  <si>
    <t>553-0-04343-7</t>
  </si>
  <si>
    <t>553-2-02522-3</t>
  </si>
  <si>
    <t>กระแสรายวัน</t>
  </si>
  <si>
    <t>553-6-00216-3</t>
  </si>
  <si>
    <t>หมายเหตุ 5 ลูกหนี้ค่าภาษี</t>
  </si>
  <si>
    <t>ประเภทลูกหนี้</t>
  </si>
  <si>
    <t>ลูกหนี้ภาษีบำรุงท้องที่</t>
  </si>
  <si>
    <t>ประจำปี</t>
  </si>
  <si>
    <t>จำนวนราย</t>
  </si>
  <si>
    <t>รวมทั้งสิ้น</t>
  </si>
  <si>
    <t>เบิกจ่ายแล้ว</t>
  </si>
  <si>
    <t>คงเหลือ</t>
  </si>
  <si>
    <t>ก่อหนี้ผูกพัน</t>
  </si>
  <si>
    <t>งานบริหารทั่วไป</t>
  </si>
  <si>
    <t>งานบริหารงานคลัง</t>
  </si>
  <si>
    <t>แผนงานการศึกษา</t>
  </si>
  <si>
    <t>แผนงานเคหะและชุมชน</t>
  </si>
  <si>
    <t>งานบริหารทั่วไปเกี่ยวกับเคหะและชุมชน</t>
  </si>
  <si>
    <t>งานไฟฟ้าถนน</t>
  </si>
  <si>
    <t>แผนงานอุตสาหกรรมและการโยธา</t>
  </si>
  <si>
    <t>งานก่อสร้างโครงสร้างพื้นฐาน</t>
  </si>
  <si>
    <t>งานส่งเสริมการเกษตร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</si>
  <si>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</si>
  <si>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</si>
  <si>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</si>
  <si>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</si>
  <si>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</si>
  <si>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</si>
  <si>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</si>
  <si>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ค่าตอบแทน</t>
  </si>
  <si>
    <t>ค่าวัสดุ</t>
  </si>
  <si>
    <t>รายจ่ายอื่น</t>
  </si>
  <si>
    <t>ค่าใช้สอย</t>
  </si>
  <si>
    <t>ค่าเช่าบ้าน</t>
  </si>
  <si>
    <t>ค่าก่อสร้างสิ่งสาธารณูปโภค</t>
  </si>
  <si>
    <t>ค่าบำรุงรักษาและปรับปรุงที่ดินและสิ่งก่อสร้าง</t>
  </si>
  <si>
    <t>ค่าใช้จ่ายในการซ่อมแซมถนนในตำบลแม่คือ</t>
  </si>
  <si>
    <t>เงินอุดหนุน</t>
  </si>
  <si>
    <t>ภาษีหัก ณ ที่จ่าย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</si>
  <si>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</si>
  <si>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</si>
  <si>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เงินมัดจำประกันสัญญา</t>
  </si>
  <si>
    <t>บวก</t>
  </si>
  <si>
    <t>จ่ายขาดเงินสะสม</t>
  </si>
  <si>
    <t>1.  เงินฝาก กสท.</t>
  </si>
  <si>
    <t>2.  ลูกหนี้ภาษีบำรุงท้องที่</t>
  </si>
  <si>
    <t>รายรับจริงสูงกว่ารายจ่ายจริง</t>
  </si>
  <si>
    <t>(เงินทุนสำรองเงินสะสม)</t>
  </si>
  <si>
    <t>รับจริงสูงกว่ารายจ่ายจริงหลังหักเงินทุนสำรองเงินสะสม</t>
  </si>
  <si>
    <t>หัก</t>
  </si>
  <si>
    <t>จำนวนเงินที่ได้รับอนุมัติ</t>
  </si>
  <si>
    <t>ยังไม่ได้ก่อหนี้</t>
  </si>
  <si>
    <t>ที่ดินและสิ่งก่อสร้าง</t>
  </si>
  <si>
    <t>รายการ</t>
  </si>
  <si>
    <t>ประมาณการ</t>
  </si>
  <si>
    <t>บริหารงานทั่วไป</t>
  </si>
  <si>
    <t>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</si>
  <si>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</si>
  <si>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</si>
  <si>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</si>
  <si>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</si>
  <si>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</si>
  <si>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 วัฒนธรรมและนันทนาการ</t>
  </si>
  <si>
    <t>อุตสาหกรรมและการโยธา</t>
  </si>
  <si>
    <t>การเกษตร</t>
  </si>
  <si>
    <t>งบกลาง</t>
  </si>
  <si>
    <t>รายจ่าย</t>
  </si>
  <si>
    <t>เงินเดือน (ฝ่ายการเมือง)</t>
  </si>
  <si>
    <t>เงินเดือน (ฝ่ายประจำ)</t>
  </si>
  <si>
    <t>ค่าสาธารณูปโภค</t>
  </si>
  <si>
    <t>ค่าครุภัณฑ์ (หมายเหตุ 1)</t>
  </si>
  <si>
    <t>ค่าที่ดินและสิ่งก่อสร้าง (หมายเหตุ 2)</t>
  </si>
  <si>
    <t>รายรับ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</si>
  <si>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</si>
  <si>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</si>
  <si>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</si>
  <si>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รายได้จากสาธารณูปโภคฯ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</si>
  <si>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</si>
  <si>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</si>
  <si>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</si>
  <si>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</si>
  <si>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</si>
  <si>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รายรับสูงกว่าหรือ (ต่ำกว่า) รายจ่าย</t>
  </si>
  <si>
    <t>งบแสดงผลการดำเนินงานจ่ายจากเงินรายรับ</t>
  </si>
  <si>
    <t>เงินอุดหนุนเฉพาะกิจ</t>
  </si>
  <si>
    <t>หมายเหตุ 8 เงินรับฝาก</t>
  </si>
  <si>
    <t>ปรับปรุงเงินรับฝากเข้าบัญชีเงินสะสม</t>
  </si>
  <si>
    <t>เงินทุนโครงการเศรษฐกิจชุมชน</t>
  </si>
  <si>
    <t>หมายเหตุ 7 รายจ่ายค้างจ่าย</t>
  </si>
  <si>
    <t>ปรับปรุงรายจ่ายรอจ่ายและค้างจ่ายปีก่อนเหลือจ่ายเข้าบัญชีเงินสะสม</t>
  </si>
  <si>
    <t>3.  รายได้ค้างรับ</t>
  </si>
  <si>
    <t>4.  เงินสะสมที่สามารถนำไปใช้ได้</t>
  </si>
  <si>
    <t>และจะเบิกจ่ายในปีงบประมาณต่อไป ตามรายละเอียดแนบท้ายหมายเหตุ 9</t>
  </si>
  <si>
    <t xml:space="preserve">โครงการส่งเสริมอาชีพเศรษฐกิจชุมชน </t>
  </si>
  <si>
    <t>ที่</t>
  </si>
  <si>
    <t>สัญญาเลขที่</t>
  </si>
  <si>
    <t>วันที่ยืม</t>
  </si>
  <si>
    <t>ชื่อกลุ่ม</t>
  </si>
  <si>
    <t>หมู่</t>
  </si>
  <si>
    <t>จำนวนเงินกู้ยืมเงิน</t>
  </si>
  <si>
    <t xml:space="preserve">งวดที่ </t>
  </si>
  <si>
    <t>วันที่ครบ</t>
  </si>
  <si>
    <t>การชำระเงินยืม</t>
  </si>
  <si>
    <t>เล่มที่</t>
  </si>
  <si>
    <t>วันที่ชำระ</t>
  </si>
  <si>
    <t>ค่าปรับ</t>
  </si>
  <si>
    <t>ยอดชำระ</t>
  </si>
  <si>
    <t>ยอดคงค้าง</t>
  </si>
  <si>
    <t xml:space="preserve"> 2/44</t>
  </si>
  <si>
    <t xml:space="preserve"> 2/45</t>
  </si>
  <si>
    <t xml:space="preserve"> 1/46</t>
  </si>
  <si>
    <t xml:space="preserve"> 6/9/43</t>
  </si>
  <si>
    <t xml:space="preserve"> 2/43</t>
  </si>
  <si>
    <t>กลุ่มแม่บ้านทำผ้าบาติก</t>
  </si>
  <si>
    <t xml:space="preserve"> 7/9/44</t>
  </si>
  <si>
    <t xml:space="preserve"> 29/9/45</t>
  </si>
  <si>
    <t xml:space="preserve"> 1/45</t>
  </si>
  <si>
    <t xml:space="preserve"> 1/47</t>
  </si>
  <si>
    <t xml:space="preserve"> 1/48</t>
  </si>
  <si>
    <t xml:space="preserve"> 1/49</t>
  </si>
  <si>
    <t xml:space="preserve"> 1/50</t>
  </si>
  <si>
    <t>กลุ่มไร่นาส่วนผสม เลี้ยงไก่</t>
  </si>
  <si>
    <t>คุณจิตต์  ไชยเทพ</t>
  </si>
  <si>
    <t>กลุ่มอุตสาหกรรมตัดเย็บส่งทอ หมู่ที่  5</t>
  </si>
  <si>
    <t>คุณสุรินทร์  วงค์อ้าย</t>
  </si>
  <si>
    <t>กลุ่มของที่ระลึกหัตถกรรมชาวเขา หมู่ที่  5</t>
  </si>
  <si>
    <t>นางสมนา  สัมพันธ์</t>
  </si>
  <si>
    <t xml:space="preserve"> 6/56</t>
  </si>
  <si>
    <t xml:space="preserve"> 7/56</t>
  </si>
  <si>
    <t xml:space="preserve"> 1/57</t>
  </si>
  <si>
    <t xml:space="preserve"> 2/53</t>
  </si>
  <si>
    <t>กลุ่มเพาะเห็ด หมู่ที่  5</t>
  </si>
  <si>
    <t>นายเรือน  ปัญญามูล</t>
  </si>
  <si>
    <t>กลุ่มกระดาษสา  หมู่ที่  2</t>
  </si>
  <si>
    <t>นางยุพดี  ช่างสาร</t>
  </si>
  <si>
    <t>นายมานพ  ปาลี</t>
  </si>
  <si>
    <t>กลุ่มเพาะเลี้ยงไก่ชนพันธุ์พื้นเมือง ต.แม่คือ</t>
  </si>
  <si>
    <t xml:space="preserve"> 5/56</t>
  </si>
  <si>
    <t xml:space="preserve"> 2/52</t>
  </si>
  <si>
    <t xml:space="preserve"> 1/53</t>
  </si>
  <si>
    <t>กลุ่มทำร่ม ม. 5</t>
  </si>
  <si>
    <t>นางบัวเขียว  ไชยประเสริฐ</t>
  </si>
  <si>
    <t xml:space="preserve"> 3/52</t>
  </si>
  <si>
    <t xml:space="preserve"> 3/53</t>
  </si>
  <si>
    <t>กลุ่มอุตสาหกรรมทำร่ม  หมู่ 3</t>
  </si>
  <si>
    <t>นางบัวผาย  ศรีใจ</t>
  </si>
  <si>
    <t>กลุ่มเหล็กดัดโคมไฟ  หมู่  5</t>
  </si>
  <si>
    <t>นายพิเชษฐ์  ปัญญาชัย</t>
  </si>
  <si>
    <t>กลุ่มเครื่องหนัง  หมู่  5</t>
  </si>
  <si>
    <t>นายประพันธ์  ขันโท</t>
  </si>
  <si>
    <t>กลุ่มนำร่องเศรษฐกิจพอเพียง ม.4</t>
  </si>
  <si>
    <t>นายธวัชชัย  บุญเรือง</t>
  </si>
  <si>
    <t>นางคำป้อ ไชยปราบ</t>
  </si>
  <si>
    <t>กลุ่มเพ้นส์สีอะคีลิค ม.3</t>
  </si>
  <si>
    <t>นางสุดฤทัย  ฉันทะ</t>
  </si>
  <si>
    <t>กลุ่มทำโครงร่มไม้ไผ่</t>
  </si>
  <si>
    <t>นางอภัย  เขื่อนวงค์วิน</t>
  </si>
  <si>
    <t>กลุ่มปุ๋ยหมักชีวภาพเพื่อการเกษตร ม.6</t>
  </si>
  <si>
    <t>นายอนันต์  คำปวน</t>
  </si>
  <si>
    <t xml:space="preserve"> 5/54</t>
  </si>
  <si>
    <t xml:space="preserve"> 8/55</t>
  </si>
  <si>
    <t>กลุ่มเย็บผ้า หมู่ 5</t>
  </si>
  <si>
    <t>นางอุไร  ไชยวงษ์</t>
  </si>
  <si>
    <t>หมายเหตุ 6 ลูกหนี้เศรษฐกิจชุมชน</t>
  </si>
  <si>
    <t>รวมยอดลูกหนี้คงค้างชำระ</t>
  </si>
  <si>
    <t>ครุภัณฑ์สนาม</t>
  </si>
  <si>
    <t>ก. รายได้ทาง ทต.</t>
  </si>
  <si>
    <t>ข. เงินสะสม</t>
  </si>
  <si>
    <t>ค. เงินอุดหนุนจากรัฐบาล</t>
  </si>
  <si>
    <t>ง. เงินบริจาค</t>
  </si>
  <si>
    <t>จ. สำรองเงินรายรับ</t>
  </si>
  <si>
    <t>ฉ. เงินอุดหนุนเฉพาะกิจ</t>
  </si>
  <si>
    <t>หมายเหตุ  ประกอบงบแสดงผลการดำเนินงาน (จ่ายจากเงินรายได้)</t>
  </si>
  <si>
    <t>ข้อมูลทั่วไป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</si>
  <si>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</si>
  <si>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</si>
  <si>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</si>
  <si>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</si>
  <si>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</si>
  <si>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1.2 รายการเปิดเผยอื่นใด (ถ้ามี)</t>
  </si>
  <si>
    <t>จังหวัดเชียงใหม่ 50220 อยู่ห่างจากอำเภอดอยสะเก็ดไปทางทิศใต้ ประมาณ 9 กิโลเมตร</t>
  </si>
  <si>
    <t xml:space="preserve">ทิศเหนือ    </t>
  </si>
  <si>
    <t>ติดต่อ</t>
  </si>
  <si>
    <t>เทศบาลตำบลตลาดใหญ่</t>
  </si>
  <si>
    <t>เทศบาลตำบลแม่ปูคา</t>
  </si>
  <si>
    <t>เทศบาลตำบลสำราญราษฎร์</t>
  </si>
  <si>
    <t>เทศบาลตำบลสันปูเลย</t>
  </si>
  <si>
    <t>เทศบาลเมืองต้นเปา</t>
  </si>
  <si>
    <t>ทิศตะวันออก</t>
  </si>
  <si>
    <t>ทิศตะวันตก</t>
  </si>
  <si>
    <t>ทิศใต้</t>
  </si>
  <si>
    <t xml:space="preserve"> - เทศบาลตำบลแม่คือ ตั้งอยู่ที่ 149 หมู่ที่ 2 บ้านแม่คือ ตำบลแม่คือ อำเภอดอยสะเก็ด</t>
  </si>
  <si>
    <t>ข้อมูลทั่วไปของเทศบาลตำบลแม่คือ</t>
  </si>
  <si>
    <t xml:space="preserve"> - อาณาเขตติดต่อ มีดังนี้</t>
  </si>
  <si>
    <t xml:space="preserve"> - เขตการปกครอง มีหมู่บ้านจำนวน 6 หมู่บ้าน คือ</t>
  </si>
  <si>
    <t>หมู่ที่ 1</t>
  </si>
  <si>
    <t>หมู่ที่ 2</t>
  </si>
  <si>
    <t>หมู่ที่ 3</t>
  </si>
  <si>
    <t>บ้านเพาะแม่คือ</t>
  </si>
  <si>
    <t>บ้านสันต้นแหน</t>
  </si>
  <si>
    <t>บ้านสันต้นแหนใต้</t>
  </si>
  <si>
    <t>หมู่ที่ 4</t>
  </si>
  <si>
    <t>หมู่ที่ 5</t>
  </si>
  <si>
    <t>หมู่ที่ 6</t>
  </si>
  <si>
    <t>บ้านป่าบง</t>
  </si>
  <si>
    <t>บ้านป่าเสร้า,เหล่าคา,หนองงู</t>
  </si>
  <si>
    <t>บ้านแม่คือ</t>
  </si>
  <si>
    <t>มีภูมิประเทศ เป็นพื้นที่ราบใช้ทำการเกษตรกรรม และใช้เป็นที่อยู่อาศัย</t>
  </si>
  <si>
    <t>มีเนื้อที่ทั้งหมด 6.72 ตารางกิโลเมตร (ประมาณ 4,200 ไร่)</t>
  </si>
  <si>
    <t xml:space="preserve"> 21/44</t>
  </si>
  <si>
    <t xml:space="preserve"> 7/45</t>
  </si>
  <si>
    <t>1/46</t>
  </si>
  <si>
    <t>5/46</t>
  </si>
  <si>
    <t>6/46</t>
  </si>
  <si>
    <t>9/46</t>
  </si>
  <si>
    <t>3/47</t>
  </si>
  <si>
    <t>8/48</t>
  </si>
  <si>
    <t>3/49</t>
  </si>
  <si>
    <t>8/49</t>
  </si>
  <si>
    <t>5/50</t>
  </si>
  <si>
    <t>1/51</t>
  </si>
  <si>
    <t>2/51</t>
  </si>
  <si>
    <t>3/51</t>
  </si>
  <si>
    <t>5/51</t>
  </si>
  <si>
    <t>2/52</t>
  </si>
  <si>
    <t>หมายเหตุ 9 เงินสะสม</t>
  </si>
  <si>
    <t>ทรัพย์สินตามงบทรัพย์สิน (หมายเหตุ 2)</t>
  </si>
  <si>
    <t xml:space="preserve"> 6/59</t>
  </si>
  <si>
    <t xml:space="preserve"> 7/59</t>
  </si>
  <si>
    <t xml:space="preserve"> 5/59</t>
  </si>
  <si>
    <t>งานระดับก่อนวัยเรียนและประถมศึกษา</t>
  </si>
  <si>
    <t>ค่าที่ดินและสิ่งก่อสร้าง</t>
  </si>
  <si>
    <t>ค่าใช้จ่ายในการซ่อมแซมอาคารเรียน</t>
  </si>
  <si>
    <t>ค่าธรรมเนียมตรวจแบบแปลน</t>
  </si>
  <si>
    <t>เงินอุดหนุนค่ารักษาพยาบาลจากสปสช.</t>
  </si>
  <si>
    <t>โครงการซ่อมแซมฝายน้ำล้น หมู่ที่ 3 เชื่อมหมู่ที่ 5</t>
  </si>
  <si>
    <t>โครงการเจาะบ่อบาดาล หมู่ที่ 6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</si>
  <si>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</si>
  <si>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รายงานรายจ่ายในการดำเนินงานที่จ่ายจากเงินรายรับตามแผนงาน งานบริหารทั่วไป</t>
  </si>
  <si>
    <t>งานวางแผนสถิติและวิชาการ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</si>
  <si>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</si>
  <si>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บริหารทั่วไปฯ</t>
  </si>
  <si>
    <t>งานเทศกิจ</t>
  </si>
  <si>
    <t>งานป้องกันภัยฝ่ายพลเรือนฯ</t>
  </si>
  <si>
    <t>รายงานรายจ่ายในการดำเนินงานที่จ่ายจากเงินรายรับตามแผนงาน การศึกษา</t>
  </si>
  <si>
    <t>งานบริหารทั่วไปฯ</t>
  </si>
  <si>
    <t>งานระดับก่อนวัยเรียนฯ</t>
  </si>
  <si>
    <t>งานระดับมัธยมศึกษา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</si>
  <si>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</si>
  <si>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 สาธารณสุข</t>
  </si>
  <si>
    <t>งานโรงพยาบาล</t>
  </si>
  <si>
    <t>งานบริการสาธารณสุขฯ</t>
  </si>
  <si>
    <t>งานศูนย์บริการสาธารณสุข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</si>
  <si>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</si>
  <si>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งานสวัสดิการสังคมฯ</t>
  </si>
  <si>
    <t>รายงานรายจ่ายในการดำเนินงานที่จ่ายจากเงินรายรับตามแผนงาน เคหะและชุมชน</t>
  </si>
  <si>
    <t>งานสวนสาธารณะ</t>
  </si>
  <si>
    <t>งานกำจัดขยะฯ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</si>
  <si>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</si>
  <si>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งานส่งเสริมและสนับสนุนฯ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</si>
  <si>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</si>
  <si>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งานกีฬาและนันทนาการ</t>
  </si>
  <si>
    <t>งานศาสนาและวัฒนธรรมฯ</t>
  </si>
  <si>
    <t>งานวิชาการ วางแผนฯ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</si>
  <si>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</si>
  <si>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งานบริหารทั่วไปเกี่ยวกับอุตสาหกรรมและการโยธา</t>
  </si>
  <si>
    <t>รายงานรายจ่ายในการดำเนินงานที่จ่ายจากเงินรายรับตามแผนงาน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</si>
  <si>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</si>
  <si>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 งบกลาง</t>
  </si>
  <si>
    <t>งบแสดงผลการดำเนินงานจ่ายจากเงินสะสม</t>
  </si>
  <si>
    <t xml:space="preserve"> -  ค่าจัดซื้อโต๊ะทำงาน</t>
  </si>
  <si>
    <t>-  โครงการวางท่อระบายน้ำ หมู่ที่ 3</t>
  </si>
  <si>
    <t>-  ค่าใช้จ่ายซ่อมแซมอาคารเรียนโรงเรียนอนุบาลเทศบาลตำบลแม่คือ</t>
  </si>
  <si>
    <t>รวมจ่ายจากเงินงบประมาณ</t>
  </si>
  <si>
    <t>อุดหนุนทั่วไประบุวัตถุประสงค์/เฉพาะกิจ</t>
  </si>
  <si>
    <t>รวมจ่ายจากเงินอุดหนุนทั่วไประบุวัตถุประสงค์/เฉพาะกิจ</t>
  </si>
  <si>
    <t>งบ</t>
  </si>
  <si>
    <t>งบบุคลากร</t>
  </si>
  <si>
    <t>เงินงบประมาณ</t>
  </si>
  <si>
    <t>เงินอุดหนุนระบุวัตถุประสงค์</t>
  </si>
  <si>
    <t>งบดำเนินการ</t>
  </si>
  <si>
    <t>งบลงทุน</t>
  </si>
  <si>
    <t>งบรายจ่ายอื่น</t>
  </si>
  <si>
    <t>งบเงินอุดหนุน</t>
  </si>
  <si>
    <t xml:space="preserve">ค่าที่ดินและสิ่งก่อสร้าง </t>
  </si>
  <si>
    <t>(หมายเหตุ 2)</t>
  </si>
  <si>
    <t>เงินรับฝากรอคืนคลังจังหวัด</t>
  </si>
  <si>
    <t>ราคาทรัพย์สิน</t>
  </si>
  <si>
    <t>ปรับปรุงรายได้ค้างรับออกจากบัญชีเงินสะสม</t>
  </si>
  <si>
    <t>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</t>
  </si>
  <si>
    <t>ยกเว้นทรัพย์สินที่จัดไว้เพื่อเป็นการให้บริการสาธารณะ เช่น ถนน สะพาน ลานกีฬา เป็นต้น</t>
  </si>
  <si>
    <t>รายการรับคืน</t>
  </si>
  <si>
    <t>คืนเงินอุดหนุนจัดซื้ดจัดจ้าง</t>
  </si>
  <si>
    <r>
      <rPr>
        <b/>
        <u/>
        <sz val="16"/>
        <rFont val="TH SarabunIT๙"/>
        <family val="2"/>
      </rPr>
      <t>หัก</t>
    </r>
    <r>
      <rPr>
        <sz val="16"/>
        <rFont val="TH SarabunIT๙"/>
        <family val="2"/>
      </rPr>
      <t xml:space="preserve"> 25% ของรายรับจริงสูงกว่ารายจ่ายจริง</t>
    </r>
  </si>
  <si>
    <t>เทศบาลตำบลแม่คือ อำเภอดอยสะเก็ด จังหวัดเชียงใหม่</t>
  </si>
  <si>
    <t>รหัสบัญชี</t>
  </si>
  <si>
    <t>เดบิท</t>
  </si>
  <si>
    <t>เครดิต</t>
  </si>
  <si>
    <t>เงินฝากธนาคาร  ธกส. # 491-2-67288-7-ออมทรัพย์</t>
  </si>
  <si>
    <t>110201</t>
  </si>
  <si>
    <t>เงินฝากธนาคาร  ธกส. # 020068268842-ออมทรัพย์</t>
  </si>
  <si>
    <t>เงินฝากธนาคาร กรุงไทย. # 553-0-04343-7-ออมทรัพย์</t>
  </si>
  <si>
    <t>เงินฝากธนาคาร กรุงไทย. # 553-0-22213-7-ออมทรัพย์</t>
  </si>
  <si>
    <t>เงินฝากธนาคาร กรุงไทย. # 553-2-02522-3-ประจำ</t>
  </si>
  <si>
    <t>110202</t>
  </si>
  <si>
    <t>เงินฝากธนาคาร กรุงไทย. # 553-6-00216-3-กระแส</t>
  </si>
  <si>
    <t>110203</t>
  </si>
  <si>
    <t>เงินฝากกองทุนกิจการเทศบาล</t>
  </si>
  <si>
    <t>120200</t>
  </si>
  <si>
    <t>110300</t>
  </si>
  <si>
    <t>110602</t>
  </si>
  <si>
    <t>ลูกหนี้เงินยืมเงินงบประมาณ</t>
  </si>
  <si>
    <t>110605</t>
  </si>
  <si>
    <t>110606</t>
  </si>
  <si>
    <t>110607</t>
  </si>
  <si>
    <t>เงินรับฝาก-เงินอุดหนุนเฉพาะกิจรอส่งคืนจังหวัด</t>
  </si>
  <si>
    <t>230116</t>
  </si>
  <si>
    <t>รายจ่ายค้างจ่ายระหว่างดำเนินการ (หมายเหตุ 3)</t>
  </si>
  <si>
    <t>210400</t>
  </si>
  <si>
    <t>เงินรับฝาก  (หมายเหตุ 2)</t>
  </si>
  <si>
    <t>230199</t>
  </si>
  <si>
    <t>300000</t>
  </si>
  <si>
    <t>ทุนสำรองเงินสะสม</t>
  </si>
  <si>
    <t>320000</t>
  </si>
  <si>
    <t>400000</t>
  </si>
  <si>
    <t>510000</t>
  </si>
  <si>
    <t>6510000</t>
  </si>
  <si>
    <t>521000</t>
  </si>
  <si>
    <t>522000</t>
  </si>
  <si>
    <t>6521000</t>
  </si>
  <si>
    <t>531000</t>
  </si>
  <si>
    <t>6531000</t>
  </si>
  <si>
    <t>532000</t>
  </si>
  <si>
    <t>6532000</t>
  </si>
  <si>
    <t>533000</t>
  </si>
  <si>
    <t>6533000</t>
  </si>
  <si>
    <t>534000</t>
  </si>
  <si>
    <t>6534000</t>
  </si>
  <si>
    <t>ค่าครุภัณฑ์</t>
  </si>
  <si>
    <t>ค่าที่ดิน และสิ่งก่อสร้าง</t>
  </si>
  <si>
    <t xml:space="preserve"> </t>
  </si>
  <si>
    <t>ลงชื่อ</t>
  </si>
  <si>
    <t>หัวหน้าฝ่ายบริหารงานคลัง</t>
  </si>
  <si>
    <t>(นางสาวอรวรรณ  ตันหล้า)</t>
  </si>
  <si>
    <t>ผู้อำนวยการกองคลัง</t>
  </si>
  <si>
    <t>(นายไชยยศ  ศักดิ์ศรีศิริสกุล)</t>
  </si>
  <si>
    <t>ปลัดเทศบาลตำบลแม่คือ</t>
  </si>
  <si>
    <t>(นางสาวสุริศรี  สารพฤกษ์)</t>
  </si>
  <si>
    <t>นายกเทศมนตรีตำบลแม่คือ</t>
  </si>
  <si>
    <t>(นายอุดม  อิ่นคำ)</t>
  </si>
  <si>
    <t>งบทดลอง (ก่อนปิดบัญชี)</t>
  </si>
  <si>
    <t>งบทดลอง (หลังปิดบัญชี)</t>
  </si>
  <si>
    <t>กระดาษทำการ</t>
  </si>
  <si>
    <t>ก่อนปิดบัญชี</t>
  </si>
  <si>
    <t>ใบผ่านรายการบัญชีมาตรฐาน</t>
  </si>
  <si>
    <t>ใบผ่านรายการบัญชีทั่วไป</t>
  </si>
  <si>
    <t>หลังปิดบัญชี</t>
  </si>
  <si>
    <t>หมายเหตุ 7 ฎีกาค้างจ่าย</t>
  </si>
  <si>
    <t xml:space="preserve">เทศบาลตำบลแม่คือ อำเภอดอยสะเก็ด จังหวัดเชียงใหม่ </t>
  </si>
  <si>
    <t>1.</t>
  </si>
  <si>
    <t>รายรับจริงทั้งสิ้น</t>
  </si>
  <si>
    <t>(ไม่รวมเงินอุดหนุนเฉพาะกิจ)</t>
  </si>
  <si>
    <t>หัก รายจ่ายจริงทั้งสิ้น</t>
  </si>
  <si>
    <t>คงเหลือเงินสะสม ก่อนหัก ทุนสำรองเงินสะสม 25%</t>
  </si>
  <si>
    <t>2.</t>
  </si>
  <si>
    <t>หัก ทุนสำรองเงินสะสม 25%</t>
  </si>
  <si>
    <t>คงเหลือเงินสะสม หลังหัก ทุนสำรองเงินสะสม 25%</t>
  </si>
  <si>
    <t>3.</t>
  </si>
  <si>
    <t>คงเหลือเงินสะสม หลังหัก ทุนสำรองเงินสะสม 25% ลูกหนี้ที่เกิดจากรายได้ค้างชำระประจำปี</t>
  </si>
  <si>
    <t>ดังนั้น เงินที่ต้องส่งฝากสมทบทุน ก.ส.ท.10% = เงินสะสม หลังหัก</t>
  </si>
  <si>
    <t>ทุนสำรองเงินสะสม 25% และลูกหนี้ที่เกิดจากรายได้ค้างชำระประจำปี</t>
  </si>
  <si>
    <t>คูณ 10% เป็นเงิน =</t>
  </si>
  <si>
    <t>หมายเหตุ 4 รายได้จากรัฐบาลค้างรับ</t>
  </si>
  <si>
    <t>เงินอุดหนุนค่าเบี้ยยังชีพผู้พิการ (ตกเบิก)</t>
  </si>
  <si>
    <t>รายได้ค้างรับจากรัฐบาล</t>
  </si>
  <si>
    <t>งบแสดงผลการดำเนินงานจ่ายจากเงินรายรับและเงินสะสม</t>
  </si>
  <si>
    <t>รายละเอียดแนบท้ายหมายเหตุ 9 เงินสะสม</t>
  </si>
  <si>
    <t>เพียง ณ วันที่ 30 กันยายน 2560</t>
  </si>
  <si>
    <t>สำหรับปี สิ้นสุดวันที่ 30 กันยายน 2560</t>
  </si>
  <si>
    <t>เงินอุดหนุนโครงการก่อสร้างระบบประปาบาดาลหมู่ที่ 2 ตำบลแม่คือ</t>
  </si>
  <si>
    <t>ณ วันที่ 30 กันยายน 2560</t>
  </si>
  <si>
    <t>ค่าติดตั้งระบบประปาและอุปกรณ์ ฯ</t>
  </si>
  <si>
    <t>โครงการก่อสร้างระบบประปาหมู่บ้าน แบบบาดาลขนาดใหญ่ หมู่ที่ 2 บ้านแม่คือ</t>
  </si>
  <si>
    <t>อุดหนุนระบุวัตถุประสงค์</t>
  </si>
  <si>
    <t>โครงการวางท่อระบายน้ำหมู่ที่ 5</t>
  </si>
  <si>
    <t>แผนงานบริหารงานทั่วไป</t>
  </si>
  <si>
    <t>งานบริหารงานทั่วไป</t>
  </si>
  <si>
    <t>โครงการก่อสร้างรางระบายน้ำ หมู่ที่ 2</t>
  </si>
  <si>
    <t>โครงการจัดซื้อรถบรรทุก (ดีเซล)</t>
  </si>
  <si>
    <t>แผนงานการรักษาความสงบภายใน</t>
  </si>
  <si>
    <t>แผนงานการเกษตร</t>
  </si>
  <si>
    <t>งานบริหารทั่วไปเกี่ยวกับการศึกษา</t>
  </si>
  <si>
    <t>ค่าตอบแทนผู้ปฏิบัติราชการอันเป็นประโยชน์แก่องค์กรปกครองส่วนท้องถิ่น</t>
  </si>
  <si>
    <t>โครงการซ่อมแซมปรับผิวทางด้วยแอสฟัลท์ติกคอนกรีต หมู่ที่ 2</t>
  </si>
  <si>
    <t>โครงการก่อสร้างท่อลอดเหลี่ยม หมู่ที่ 2</t>
  </si>
  <si>
    <t>เงินสะสม 1 ตุลาคม 2559</t>
  </si>
  <si>
    <t>เงินสะสม 30 กันยายน 2560</t>
  </si>
  <si>
    <t>ปรับปรุงรายจ่ายปี 2559 เข้าบัญชีเงินสะสม</t>
  </si>
  <si>
    <t>แบบการคำนวณเงินฝากสมทบเงินทุนส่งเสริมกิจการเทศบาลประจำปี 2560</t>
  </si>
  <si>
    <t>ตั้งแต่วันที่ 1 ตุลาคม 2559 ถึง 30 กันยายน 2560</t>
  </si>
  <si>
    <t>ตั้งแต่วันที่ 1 ตุลาคม 2559  ถึง 30 กันยายน 2560</t>
  </si>
  <si>
    <t>รวมจ่ายจากเงินสะสม</t>
  </si>
  <si>
    <t xml:space="preserve"> -  ค่าจัดซื้อโต๊ะหมู่บูชา</t>
  </si>
  <si>
    <t xml:space="preserve"> -  ค่าจัดซื้อรถบรรทุก (ดีเซล)</t>
  </si>
  <si>
    <t xml:space="preserve"> -  ค่าจัดซื้อเครื่องมัลติมีเดียโปรเจคเตอร์ระดับ XGA</t>
  </si>
  <si>
    <t xml:space="preserve"> -  ค่าจัดซื้อเครื่องคอมพิวเตอร์สำหรับงานประมวลผล แบบที่ 1</t>
  </si>
  <si>
    <t xml:space="preserve"> -  ค่าจัดซื้อเครื่องคอมพิวเตอร์สำหรับงานสำนักงาน</t>
  </si>
  <si>
    <t xml:space="preserve"> -  ค่าจัดซื้อเครื่องพิมพ์ Multifunction แบบฉีดหมึก</t>
  </si>
  <si>
    <t xml:space="preserve"> -  ค่าจัดซื้อเครื่องพิมพ์แบบฉีดหมึก (Inkjet Printer)</t>
  </si>
  <si>
    <t xml:space="preserve"> -  ค่าจัดซื้อเครื่องสำรองไฟ ขนาด 800 VA</t>
  </si>
  <si>
    <t xml:space="preserve"> -   ค่าบำรุงรักษาและปรับปรุงครุภัณฑ์สำนักปลัด</t>
  </si>
  <si>
    <t xml:space="preserve"> -  ค่าจัดซื้อตู้เหล็ก 2 บาน</t>
  </si>
  <si>
    <t xml:space="preserve"> -  ค่าจัดซื้อเครื่องคอมพิวเตอร์โน๊ตบุ๊คสำหรับงานประมวลผล</t>
  </si>
  <si>
    <t xml:space="preserve"> -  ค่าจัดซื้อเครื่องรับ ส่งวิทยุ แบบประจำที่ ขนาด 40 วัตต์</t>
  </si>
  <si>
    <t xml:space="preserve"> -  ค่าจัดซื้อเครื่องพ่นหมอกควัน</t>
  </si>
  <si>
    <t xml:space="preserve"> -  ค่าจัดซื้อแบบหล่อคอนกรีต</t>
  </si>
  <si>
    <t xml:space="preserve"> -  ค่าจัดซื้อจอภาพ แบบ LCD</t>
  </si>
  <si>
    <t>หมายเหตุ  ประกอบงบแสดงผลการดำเนินงาน (จ่ายจากเงินอุดหนุนเฉพาะกิจ)</t>
  </si>
  <si>
    <t xml:space="preserve"> -  ค่าจัดซื้อชุดอุปกรณ์สำหรับห้องเรียนคุณภาพแห่งการเรียนรู้</t>
  </si>
  <si>
    <t>ด้านสื่อเทคโนโลยีสารสนเทศ DLIT โรงเรียนอนุบาลเทศบาลตำบลแม่คือ</t>
  </si>
  <si>
    <t>อาคารต่างๆ</t>
  </si>
  <si>
    <t>-  โครงการก่อสร้างอาคารเก็บเทศบาลตำบลแม่คือ หมู่ที่ 2</t>
  </si>
  <si>
    <t>-  โครงการก่อสร้างหลังคาคลุมลานเข้าแถวเด็ก ศพด.</t>
  </si>
  <si>
    <t>-  โครงการซ่อมแซมปรับผิวทางด้วยแอสฟัสท์ติกคอนกรีต หมู่ที่ 2</t>
  </si>
  <si>
    <t>-  โครงการปรับปรุงถนนด้วยหินคลุกตำบลแม่คือ หมู่ที่ 1-6</t>
  </si>
  <si>
    <t>-  โครงการปรับปรุงถนนด้วยแอสฟัสท์ติกคอนกรีต หมู่ที่ 2 ซ.2</t>
  </si>
  <si>
    <t>-  โครงการปรับปรุงถนนด้วยแอสฟัสท์ติกคอนกรีต หมู่ที่ 2 ซ.3</t>
  </si>
  <si>
    <t>-  โครงการปรับปรุงถนนด้วยแอสฟัสท์ติกคอนกรีต หมู่ที่ 2 ซ.4</t>
  </si>
  <si>
    <t>-  โครงการปรับปรุงถนนด้วยแอสฟัสท์ติกคอนกรีต หมู่ที่ 2 ซ.5</t>
  </si>
  <si>
    <t>-  โครงการปรับปรุงถนนด้วยแอสฟัสท์ติกคอนกรีต หมู่ที่ 2 ซ.6</t>
  </si>
  <si>
    <t>-  โครงการปรับปรุงถนนด้วยแอสฟัสท์ติกคอนกรีต หมู่ที่ 2 ซ.7</t>
  </si>
  <si>
    <t>-  โครงการปรับปรุงถนนด้วยแอสฟัสท์ติกคอนกรีต หมู่ที่ 2 ซ.8</t>
  </si>
  <si>
    <t>-  โครงการปรับปรุงถนนด้วยแอสฟัสท์ติกคอนกรีต หมู่ที่ 3 กลางซ.5</t>
  </si>
  <si>
    <t>-  ค่าใช้จ่ายในการซ่อมแซมถนนในตำบลแม่คือ</t>
  </si>
  <si>
    <t>-  โครงการก่อสร้างท่อลอดเหลี่ยม หมู่ที่ 2</t>
  </si>
  <si>
    <t>-  โครงการก่อสร้างรางระบายน้ำ หมู่ที่ 1</t>
  </si>
  <si>
    <t>-  โครงการก่อสร้างรางระบายน้ำ หมู่ที่ 2</t>
  </si>
  <si>
    <t>-  โครงการขยายสะพาน หมู่ที่ 2</t>
  </si>
  <si>
    <t>-  โครงการวางท่อระบายน้ำ หมู่ที่ 5</t>
  </si>
  <si>
    <t>-  ค่าปรับปรุงซ่อมแซมรางระบายน้ำในเขตตำบลแม่คือ</t>
  </si>
  <si>
    <t>-  โครงการปรับปรุงผิวทางด้วยพาราแอสฟัลท์ติกคอนกรีต สายทาง</t>
  </si>
  <si>
    <t>บ้านแม่คือ (สายทางบ้านแม่ท้องปอง) หมู่ที่ 2 ตำบลแม่คือ</t>
  </si>
  <si>
    <t>บ้านแม่คือ (สายทางหน้าเทศบาล) หมู่ที่ 2 ตำบลแม่คือ</t>
  </si>
  <si>
    <t>ค่าติดตั้งระบบประปาและอุปกรณ์ ซึ่งเป็นการติดตั้งครั้งแรกในอาคาร</t>
  </si>
  <si>
    <t>หรือสถานที่ราชการพร้อมการก่อสร้างหรือภายหลังการก่อสร้าง</t>
  </si>
  <si>
    <t>-  โครงการก่อสร้างระบบประปาหมู่บ้านแบบบาดาลขนาดใหญ่ ม. 2</t>
  </si>
  <si>
    <t>บ้านแม่คือ ตำบลแม่คือ ตามแบบมาตรฐานทรัพยากรน้ำ</t>
  </si>
  <si>
    <t>รวมเป็นจำนวนเงิน</t>
  </si>
  <si>
    <t>-  โครงการเจาะบ่อบาดาล หมู่ที่ 6</t>
  </si>
  <si>
    <t>-  โครงการซ่อมแซมฝายน้ำล้น หมู่ที่ 3 เชื่อมหมู่ที่ 5</t>
  </si>
  <si>
    <t>-  โครงการก่อสร้างโดมคลุมอาคารหน้าสำนักงานเทศบาลตำบลแม่คือ</t>
  </si>
  <si>
    <t>โครงการก่อสร้างโดมคลุมอาคารหน้าสำนักงานเทศบาลตำบลแม่คือ</t>
  </si>
  <si>
    <t>ณ วันที่  30  เดือน กันยายน พ.ศ. 2560</t>
  </si>
  <si>
    <t>ณ วันที่  30  เดือน กันยายยน พ.ศ. 2560</t>
  </si>
  <si>
    <t>-  ค่าใช้จ่ายในการขุดลอกลำเหมืองสาธารณะและกำจัดวัชพืช</t>
  </si>
  <si>
    <t>-  โครงการก่อสร้างถนนแอสฟัลท์ติกคอนกรีต หมู่ที่ 1 ซอย 1</t>
  </si>
  <si>
    <t>ณ วันที่   30  เดือน กันยายน พ.ศ. 2560</t>
  </si>
  <si>
    <t>คืนเงินค่าเช่าบ้าน</t>
  </si>
  <si>
    <t>คืนอุดหนุนอปท</t>
  </si>
  <si>
    <t>คืนรายจ่ายปี 2558</t>
  </si>
  <si>
    <t>คืนเงินอุดหนุนยาเสพติด</t>
  </si>
  <si>
    <t xml:space="preserve"> 1/60</t>
  </si>
  <si>
    <t>ชาย 2,736 คน หญิง 3,002 คน (ข้อมูล ณ กรกฎาคม 2560)</t>
  </si>
  <si>
    <t xml:space="preserve"> - จำนวนประชากร 5,738 คน แยกเป็น</t>
  </si>
  <si>
    <t>โครงการก่อสร้างคลองดาดคอนกรีต ลำเหมืองสาธารณประโยชน์ท้ายซอย3 หมู่2 ถึงหมู่ 3</t>
  </si>
  <si>
    <t>เงินสะสม 30 กันยายน 2560  ประกอบด้วย</t>
  </si>
  <si>
    <t>ทั้งนี้ในปีงบประมาณ 2560 ได้รับอนุมัติให้จ่ายเงินสะสมที่อยู่ระหว่างดำเนินการ จำนวน 2,695,200.- บาท</t>
  </si>
  <si>
    <t>หัก ลูกหนี้ที่เกิดจากรายได้ค้างชำระประจำปี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</si>
</sst>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;\(#,##0.00\)"/>
    <numFmt numFmtId="188" formatCode="[$-1010000]d/m/yy;@"/>
    <numFmt numFmtId="189" formatCode="_-* #,##0_-;\-* #,##0_-;_-* &quot;-&quot;??_-;_-@_-"/>
    <numFmt numFmtId="190" formatCode="_(* #,##0.00_);_(* \(#,##0.00\);_(* &quot;-&quot;??_);_(@_)"/>
  </numFmts>
  <fonts count="77" x14ac:knownFonts="1">
    <font>
      <sz val="16"/>
      <color indexed="8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indexed="8"/>
      <name val="Angsana New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name val="AngsanaUPC"/>
      <family val="1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6"/>
      <name val="TH SarabunIT๙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u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sz val="16"/>
      <color rgb="FFFF0000"/>
      <name val="TH SarabunIT๙"/>
      <family val="2"/>
    </font>
    <font>
      <b/>
      <sz val="20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6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H SarabunIT๙"/>
      <family val="2"/>
    </font>
    <font>
      <sz val="12"/>
      <name val="TH SarabunIT๙"/>
      <family val="2"/>
    </font>
    <font>
      <sz val="10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b/>
      <u/>
      <sz val="14"/>
      <name val="TH SarabunIT๙"/>
      <family val="2"/>
    </font>
    <font>
      <b/>
      <sz val="18"/>
      <name val="TH SarabunIT๙"/>
      <family val="2"/>
    </font>
    <font>
      <b/>
      <u/>
      <sz val="16"/>
      <name val="TH SarabunIT๙"/>
      <family val="2"/>
    </font>
    <font>
      <b/>
      <sz val="13"/>
      <name val="TH SarabunIT๙"/>
      <family val="2"/>
    </font>
    <font>
      <b/>
      <sz val="20"/>
      <name val="TH SarabunIT๙"/>
      <family val="2"/>
    </font>
    <font>
      <b/>
      <sz val="12"/>
      <name val="TH SarabunIT๙"/>
      <family val="2"/>
    </font>
    <font>
      <sz val="8"/>
      <name val="TH SarabunIT๙"/>
      <family val="2"/>
    </font>
    <font>
      <sz val="12"/>
      <color rgb="FFFF0000"/>
      <name val="TH SarabunIT๙"/>
      <family val="2"/>
    </font>
    <font>
      <sz val="18"/>
      <name val="TH SarabunIT๙"/>
      <family val="2"/>
    </font>
    <font>
      <sz val="14"/>
      <color indexed="10"/>
      <name val="TH SarabunIT๙"/>
      <family val="2"/>
    </font>
    <font>
      <sz val="11"/>
      <name val="TH SarabunIT๙"/>
      <family val="2"/>
    </font>
    <font>
      <b/>
      <sz val="10"/>
      <name val="TH SarabunIT๙"/>
      <family val="2"/>
    </font>
    <font>
      <sz val="12"/>
      <color indexed="10"/>
      <name val="TH SarabunIT๙"/>
      <family val="2"/>
    </font>
    <font>
      <b/>
      <sz val="14"/>
      <color indexed="10"/>
      <name val="TH SarabunIT๙"/>
      <family val="2"/>
    </font>
    <font>
      <sz val="13"/>
      <color indexed="8"/>
      <name val="TH SarabunIT๙"/>
      <family val="2"/>
    </font>
    <font>
      <b/>
      <sz val="13"/>
      <color indexed="10"/>
      <name val="TH SarabunIT๙"/>
      <family val="2"/>
    </font>
    <font>
      <sz val="13"/>
      <color indexed="10"/>
      <name val="TH SarabunIT๙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color theme="1"/>
      <name val="Angsana New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IT๙"/>
      <family val="2"/>
    </font>
    <font>
      <u val="singleAccounting"/>
      <sz val="16"/>
      <name val="TH SarabunIT๙"/>
      <family val="2"/>
    </font>
    <font>
      <sz val="10"/>
      <name val="TH SarabunIT๙"/>
      <family val="2"/>
    </font>
    <font>
      <b/>
      <sz val="20"/>
      <color rgb="FFFF0000"/>
      <name val="TH SarabunIT๙"/>
      <family val="2"/>
    </font>
    <font>
      <sz val="13"/>
      <color rgb="FFFF0000"/>
      <name val="TH SarabunIT๙"/>
      <family val="2"/>
    </font>
    <font>
      <b/>
      <sz val="11"/>
      <name val="TH SarabunIT๙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58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4" applyNumberFormat="0" applyAlignment="0" applyProtection="0"/>
    <xf numFmtId="0" fontId="15" fillId="0" borderId="9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4" fillId="23" borderId="10" applyNumberFormat="0" applyFont="0" applyAlignment="0" applyProtection="0"/>
    <xf numFmtId="0" fontId="18" fillId="20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190" fontId="23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0" fontId="76" fillId="0" borderId="0"/>
  </cellStyleXfs>
  <cellXfs count="551">
    <xf numFmtId="0" fontId="0" fillId="0" borderId="0" xfId="0"/>
    <xf numFmtId="43" fontId="24" fillId="0" borderId="0" xfId="1" applyFont="1" applyAlignment="1" applyProtection="1">
      <alignment vertical="center"/>
    </xf>
    <xf numFmtId="0" fontId="26" fillId="0" borderId="0" xfId="0" applyFont="1"/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/>
    <xf numFmtId="0" fontId="26" fillId="0" borderId="0" xfId="0" applyFont="1" applyAlignment="1">
      <alignment horizontal="center"/>
    </xf>
    <xf numFmtId="43" fontId="26" fillId="0" borderId="1" xfId="1" applyFont="1" applyBorder="1"/>
    <xf numFmtId="43" fontId="26" fillId="0" borderId="0" xfId="1" applyFont="1" applyBorder="1"/>
    <xf numFmtId="43" fontId="26" fillId="0" borderId="0" xfId="1" applyFont="1"/>
    <xf numFmtId="43" fontId="28" fillId="0" borderId="31" xfId="1" applyFont="1" applyBorder="1"/>
    <xf numFmtId="43" fontId="26" fillId="0" borderId="0" xfId="0" applyNumberFormat="1" applyFont="1"/>
    <xf numFmtId="0" fontId="26" fillId="0" borderId="0" xfId="0" applyFont="1" applyBorder="1"/>
    <xf numFmtId="0" fontId="28" fillId="0" borderId="0" xfId="0" applyFont="1" applyBorder="1"/>
    <xf numFmtId="49" fontId="26" fillId="0" borderId="0" xfId="0" applyNumberFormat="1" applyFont="1" applyBorder="1"/>
    <xf numFmtId="43" fontId="26" fillId="0" borderId="0" xfId="0" applyNumberFormat="1" applyFont="1" applyBorder="1"/>
    <xf numFmtId="0" fontId="29" fillId="0" borderId="0" xfId="0" applyFont="1"/>
    <xf numFmtId="43" fontId="30" fillId="0" borderId="0" xfId="1" applyFont="1" applyBorder="1"/>
    <xf numFmtId="43" fontId="31" fillId="0" borderId="0" xfId="1" applyFont="1" applyBorder="1"/>
    <xf numFmtId="43" fontId="30" fillId="0" borderId="31" xfId="1" applyFont="1" applyBorder="1"/>
    <xf numFmtId="43" fontId="30" fillId="0" borderId="3" xfId="1" applyFont="1" applyBorder="1"/>
    <xf numFmtId="43" fontId="32" fillId="0" borderId="0" xfId="0" applyNumberFormat="1" applyFont="1" applyBorder="1"/>
    <xf numFmtId="43" fontId="30" fillId="0" borderId="0" xfId="0" applyNumberFormat="1" applyFont="1" applyBorder="1"/>
    <xf numFmtId="0" fontId="34" fillId="0" borderId="0" xfId="0" applyFont="1"/>
    <xf numFmtId="43" fontId="26" fillId="0" borderId="0" xfId="1" applyFont="1" applyAlignment="1">
      <alignment horizontal="center"/>
    </xf>
    <xf numFmtId="43" fontId="28" fillId="0" borderId="0" xfId="1" applyFont="1" applyBorder="1"/>
    <xf numFmtId="0" fontId="24" fillId="0" borderId="0" xfId="48" applyFont="1" applyBorder="1"/>
    <xf numFmtId="0" fontId="36" fillId="0" borderId="0" xfId="48" applyFont="1" applyBorder="1"/>
    <xf numFmtId="43" fontId="28" fillId="0" borderId="3" xfId="1" applyFont="1" applyBorder="1"/>
    <xf numFmtId="0" fontId="26" fillId="0" borderId="16" xfId="0" applyFont="1" applyBorder="1"/>
    <xf numFmtId="0" fontId="26" fillId="0" borderId="31" xfId="0" applyFont="1" applyBorder="1"/>
    <xf numFmtId="0" fontId="26" fillId="0" borderId="16" xfId="0" applyFont="1" applyBorder="1" applyAlignment="1">
      <alignment horizontal="right"/>
    </xf>
    <xf numFmtId="0" fontId="26" fillId="0" borderId="17" xfId="0" applyFont="1" applyBorder="1"/>
    <xf numFmtId="0" fontId="26" fillId="0" borderId="3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2" xfId="0" applyFont="1" applyBorder="1"/>
    <xf numFmtId="0" fontId="26" fillId="0" borderId="33" xfId="0" applyFont="1" applyBorder="1"/>
    <xf numFmtId="0" fontId="28" fillId="0" borderId="16" xfId="0" applyFont="1" applyBorder="1"/>
    <xf numFmtId="0" fontId="28" fillId="0" borderId="31" xfId="0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2" xfId="0" applyFont="1" applyBorder="1"/>
    <xf numFmtId="0" fontId="28" fillId="0" borderId="19" xfId="0" applyFont="1" applyBorder="1"/>
    <xf numFmtId="189" fontId="41" fillId="0" borderId="21" xfId="44" applyNumberFormat="1" applyFont="1" applyFill="1" applyBorder="1"/>
    <xf numFmtId="189" fontId="41" fillId="0" borderId="21" xfId="44" applyNumberFormat="1" applyFont="1" applyFill="1" applyBorder="1" applyAlignment="1">
      <alignment horizontal="right"/>
    </xf>
    <xf numFmtId="189" fontId="41" fillId="0" borderId="21" xfId="44" applyNumberFormat="1" applyFont="1" applyFill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4" fillId="0" borderId="0" xfId="0" applyFont="1" applyBorder="1"/>
    <xf numFmtId="0" fontId="34" fillId="0" borderId="21" xfId="0" applyFont="1" applyBorder="1" applyAlignment="1">
      <alignment vertical="center"/>
    </xf>
    <xf numFmtId="49" fontId="43" fillId="0" borderId="21" xfId="0" applyNumberFormat="1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49" fontId="43" fillId="0" borderId="21" xfId="0" applyNumberFormat="1" applyFont="1" applyBorder="1" applyAlignment="1">
      <alignment vertical="center" wrapText="1"/>
    </xf>
    <xf numFmtId="43" fontId="43" fillId="0" borderId="21" xfId="1" applyNumberFormat="1" applyFont="1" applyBorder="1" applyAlignment="1">
      <alignment vertical="center"/>
    </xf>
    <xf numFmtId="43" fontId="35" fillId="0" borderId="21" xfId="0" applyNumberFormat="1" applyFont="1" applyBorder="1"/>
    <xf numFmtId="0" fontId="24" fillId="0" borderId="0" xfId="0" applyFont="1"/>
    <xf numFmtId="0" fontId="43" fillId="0" borderId="0" xfId="0" applyFont="1"/>
    <xf numFmtId="0" fontId="44" fillId="0" borderId="0" xfId="0" applyFont="1"/>
    <xf numFmtId="43" fontId="44" fillId="0" borderId="0" xfId="0" applyNumberFormat="1" applyFont="1"/>
    <xf numFmtId="0" fontId="32" fillId="0" borderId="0" xfId="0" applyFont="1"/>
    <xf numFmtId="0" fontId="36" fillId="0" borderId="2" xfId="0" applyFont="1" applyBorder="1" applyAlignment="1">
      <alignment horizontal="left"/>
    </xf>
    <xf numFmtId="43" fontId="24" fillId="0" borderId="27" xfId="1" applyFont="1" applyBorder="1" applyAlignment="1">
      <alignment vertical="center"/>
    </xf>
    <xf numFmtId="49" fontId="24" fillId="0" borderId="27" xfId="0" applyNumberFormat="1" applyFont="1" applyBorder="1" applyAlignment="1">
      <alignment vertical="top" wrapText="1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/>
    <xf numFmtId="43" fontId="32" fillId="0" borderId="0" xfId="1" applyFont="1"/>
    <xf numFmtId="0" fontId="24" fillId="0" borderId="0" xfId="38" applyFont="1" applyAlignment="1" applyProtection="1">
      <alignment vertical="center"/>
    </xf>
    <xf numFmtId="43" fontId="43" fillId="0" borderId="27" xfId="1" applyFont="1" applyBorder="1" applyAlignment="1" applyProtection="1"/>
    <xf numFmtId="43" fontId="43" fillId="0" borderId="27" xfId="1" applyFont="1" applyBorder="1" applyAlignment="1" applyProtection="1">
      <alignment vertical="center"/>
    </xf>
    <xf numFmtId="43" fontId="50" fillId="0" borderId="37" xfId="1" applyFont="1" applyBorder="1" applyAlignment="1" applyProtection="1"/>
    <xf numFmtId="43" fontId="45" fillId="0" borderId="37" xfId="1" applyFont="1" applyBorder="1" applyAlignment="1" applyProtection="1"/>
    <xf numFmtId="43" fontId="46" fillId="0" borderId="0" xfId="1" applyFont="1" applyBorder="1" applyAlignment="1" applyProtection="1">
      <alignment vertical="center"/>
    </xf>
    <xf numFmtId="43" fontId="43" fillId="0" borderId="0" xfId="1" applyFont="1" applyBorder="1" applyAlignment="1" applyProtection="1">
      <alignment vertical="center"/>
    </xf>
    <xf numFmtId="0" fontId="43" fillId="0" borderId="19" xfId="38" applyFont="1" applyBorder="1" applyAlignment="1" applyProtection="1">
      <alignment horizontal="center" vertical="center"/>
    </xf>
    <xf numFmtId="0" fontId="43" fillId="0" borderId="0" xfId="38" applyFont="1" applyAlignment="1" applyProtection="1">
      <alignment horizontal="center" vertical="center"/>
    </xf>
    <xf numFmtId="43" fontId="24" fillId="0" borderId="0" xfId="1" applyFont="1" applyBorder="1" applyAlignment="1" applyProtection="1"/>
    <xf numFmtId="49" fontId="51" fillId="0" borderId="0" xfId="0" applyNumberFormat="1" applyFont="1"/>
    <xf numFmtId="43" fontId="24" fillId="0" borderId="0" xfId="1" applyFont="1"/>
    <xf numFmtId="0" fontId="36" fillId="0" borderId="0" xfId="0" applyFont="1"/>
    <xf numFmtId="49" fontId="24" fillId="0" borderId="0" xfId="0" applyNumberFormat="1" applyFont="1"/>
    <xf numFmtId="49" fontId="36" fillId="0" borderId="0" xfId="0" applyNumberFormat="1" applyFont="1"/>
    <xf numFmtId="43" fontId="36" fillId="0" borderId="0" xfId="1" applyFont="1"/>
    <xf numFmtId="43" fontId="36" fillId="0" borderId="3" xfId="1" applyFont="1" applyBorder="1"/>
    <xf numFmtId="43" fontId="24" fillId="0" borderId="0" xfId="0" applyNumberFormat="1" applyFont="1"/>
    <xf numFmtId="43" fontId="36" fillId="0" borderId="0" xfId="1" applyFont="1" applyBorder="1"/>
    <xf numFmtId="0" fontId="48" fillId="0" borderId="0" xfId="38" applyFont="1" applyAlignment="1" applyProtection="1">
      <alignment horizontal="center" vertical="center"/>
    </xf>
    <xf numFmtId="0" fontId="26" fillId="0" borderId="0" xfId="0" applyFont="1" applyAlignment="1">
      <alignment horizontal="left"/>
    </xf>
    <xf numFmtId="2" fontId="26" fillId="0" borderId="34" xfId="0" applyNumberFormat="1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189" fontId="41" fillId="0" borderId="21" xfId="1" applyNumberFormat="1" applyFont="1" applyFill="1" applyBorder="1"/>
    <xf numFmtId="189" fontId="41" fillId="0" borderId="15" xfId="1" applyNumberFormat="1" applyFont="1" applyFill="1" applyBorder="1"/>
    <xf numFmtId="0" fontId="38" fillId="0" borderId="0" xfId="51" applyFont="1"/>
    <xf numFmtId="0" fontId="39" fillId="0" borderId="2" xfId="51" applyFont="1" applyBorder="1" applyAlignment="1">
      <alignment horizontal="left" vertical="center"/>
    </xf>
    <xf numFmtId="0" fontId="38" fillId="0" borderId="0" xfId="51" applyFont="1" applyBorder="1" applyAlignment="1">
      <alignment horizontal="center" vertical="center"/>
    </xf>
    <xf numFmtId="0" fontId="38" fillId="0" borderId="2" xfId="51" applyFont="1" applyBorder="1" applyAlignment="1">
      <alignment horizontal="center" vertical="center"/>
    </xf>
    <xf numFmtId="0" fontId="41" fillId="0" borderId="2" xfId="51" applyFont="1" applyFill="1" applyBorder="1" applyAlignment="1">
      <alignment horizontal="center" vertical="center"/>
    </xf>
    <xf numFmtId="0" fontId="41" fillId="0" borderId="21" xfId="51" applyFont="1" applyBorder="1" applyAlignment="1">
      <alignment horizontal="center"/>
    </xf>
    <xf numFmtId="0" fontId="41" fillId="0" borderId="21" xfId="51" applyFont="1" applyFill="1" applyBorder="1" applyAlignment="1">
      <alignment horizontal="center"/>
    </xf>
    <xf numFmtId="0" fontId="41" fillId="0" borderId="0" xfId="51" applyFont="1"/>
    <xf numFmtId="17" fontId="41" fillId="0" borderId="21" xfId="51" applyNumberFormat="1" applyFont="1" applyFill="1" applyBorder="1" applyAlignment="1">
      <alignment shrinkToFit="1"/>
    </xf>
    <xf numFmtId="0" fontId="41" fillId="0" borderId="21" xfId="51" applyFont="1" applyFill="1" applyBorder="1" applyAlignment="1"/>
    <xf numFmtId="0" fontId="41" fillId="0" borderId="21" xfId="51" applyFont="1" applyBorder="1" applyAlignment="1"/>
    <xf numFmtId="43" fontId="41" fillId="0" borderId="21" xfId="52" applyNumberFormat="1" applyFont="1" applyFill="1" applyBorder="1" applyAlignment="1"/>
    <xf numFmtId="188" fontId="41" fillId="0" borderId="21" xfId="51" applyNumberFormat="1" applyFont="1" applyBorder="1" applyAlignment="1">
      <alignment horizontal="center"/>
    </xf>
    <xf numFmtId="43" fontId="41" fillId="0" borderId="21" xfId="52" applyFont="1" applyFill="1" applyBorder="1" applyAlignment="1"/>
    <xf numFmtId="43" fontId="41" fillId="0" borderId="21" xfId="51" applyNumberFormat="1" applyFont="1" applyFill="1" applyBorder="1" applyAlignment="1"/>
    <xf numFmtId="0" fontId="38" fillId="0" borderId="21" xfId="51" applyFont="1" applyBorder="1" applyAlignment="1">
      <alignment horizontal="center"/>
    </xf>
    <xf numFmtId="0" fontId="41" fillId="0" borderId="21" xfId="51" applyFont="1" applyFill="1" applyBorder="1" applyAlignment="1">
      <alignment shrinkToFit="1"/>
    </xf>
    <xf numFmtId="0" fontId="38" fillId="0" borderId="21" xfId="51" applyFont="1" applyBorder="1" applyAlignment="1"/>
    <xf numFmtId="43" fontId="38" fillId="0" borderId="21" xfId="52" applyNumberFormat="1" applyFont="1" applyFill="1" applyBorder="1" applyAlignment="1"/>
    <xf numFmtId="188" fontId="38" fillId="0" borderId="21" xfId="51" applyNumberFormat="1" applyFont="1" applyBorder="1" applyAlignment="1">
      <alignment horizontal="center"/>
    </xf>
    <xf numFmtId="0" fontId="38" fillId="0" borderId="21" xfId="51" applyFont="1" applyBorder="1" applyAlignment="1">
      <alignment shrinkToFit="1"/>
    </xf>
    <xf numFmtId="14" fontId="41" fillId="0" borderId="21" xfId="51" applyNumberFormat="1" applyFont="1" applyFill="1" applyBorder="1" applyAlignment="1"/>
    <xf numFmtId="43" fontId="38" fillId="0" borderId="0" xfId="51" applyNumberFormat="1" applyFont="1"/>
    <xf numFmtId="17" fontId="41" fillId="0" borderId="21" xfId="51" applyNumberFormat="1" applyFont="1" applyBorder="1" applyAlignment="1">
      <alignment horizontal="center" shrinkToFit="1"/>
    </xf>
    <xf numFmtId="0" fontId="38" fillId="0" borderId="21" xfId="51" applyFont="1" applyBorder="1"/>
    <xf numFmtId="0" fontId="41" fillId="0" borderId="21" xfId="51" applyFont="1" applyFill="1" applyBorder="1"/>
    <xf numFmtId="0" fontId="41" fillId="0" borderId="21" xfId="51" applyFont="1" applyBorder="1"/>
    <xf numFmtId="43" fontId="41" fillId="0" borderId="21" xfId="52" applyNumberFormat="1" applyFont="1" applyFill="1" applyBorder="1"/>
    <xf numFmtId="43" fontId="38" fillId="0" borderId="21" xfId="52" applyFont="1" applyBorder="1"/>
    <xf numFmtId="43" fontId="41" fillId="0" borderId="21" xfId="52" applyFont="1" applyFill="1" applyBorder="1"/>
    <xf numFmtId="0" fontId="54" fillId="0" borderId="21" xfId="51" applyFont="1" applyFill="1" applyBorder="1"/>
    <xf numFmtId="43" fontId="41" fillId="0" borderId="15" xfId="52" applyFont="1" applyFill="1" applyBorder="1"/>
    <xf numFmtId="0" fontId="41" fillId="0" borderId="15" xfId="51" applyFont="1" applyFill="1" applyBorder="1"/>
    <xf numFmtId="43" fontId="41" fillId="0" borderId="15" xfId="52" applyFont="1" applyFill="1" applyBorder="1" applyAlignment="1"/>
    <xf numFmtId="43" fontId="41" fillId="0" borderId="15" xfId="51" applyNumberFormat="1" applyFont="1" applyFill="1" applyBorder="1" applyAlignment="1"/>
    <xf numFmtId="49" fontId="41" fillId="0" borderId="21" xfId="51" applyNumberFormat="1" applyFont="1" applyBorder="1" applyAlignment="1">
      <alignment horizontal="center" shrinkToFit="1"/>
    </xf>
    <xf numFmtId="189" fontId="41" fillId="0" borderId="21" xfId="52" applyNumberFormat="1" applyFont="1" applyFill="1" applyBorder="1"/>
    <xf numFmtId="189" fontId="41" fillId="0" borderId="15" xfId="52" applyNumberFormat="1" applyFont="1" applyFill="1" applyBorder="1"/>
    <xf numFmtId="0" fontId="38" fillId="0" borderId="21" xfId="51" applyFont="1" applyFill="1" applyBorder="1" applyAlignment="1">
      <alignment horizontal="center"/>
    </xf>
    <xf numFmtId="188" fontId="38" fillId="0" borderId="21" xfId="51" applyNumberFormat="1" applyFont="1" applyFill="1" applyBorder="1" applyAlignment="1">
      <alignment horizontal="center"/>
    </xf>
    <xf numFmtId="0" fontId="52" fillId="0" borderId="21" xfId="51" applyFont="1" applyFill="1" applyBorder="1" applyAlignment="1">
      <alignment horizontal="center"/>
    </xf>
    <xf numFmtId="0" fontId="41" fillId="0" borderId="20" xfId="51" applyFont="1" applyFill="1" applyBorder="1"/>
    <xf numFmtId="188" fontId="40" fillId="0" borderId="21" xfId="51" applyNumberFormat="1" applyFont="1" applyBorder="1" applyAlignment="1">
      <alignment horizontal="center"/>
    </xf>
    <xf numFmtId="43" fontId="41" fillId="0" borderId="21" xfId="51" applyNumberFormat="1" applyFont="1" applyFill="1" applyBorder="1"/>
    <xf numFmtId="189" fontId="38" fillId="0" borderId="0" xfId="51" applyNumberFormat="1" applyFont="1"/>
    <xf numFmtId="0" fontId="41" fillId="0" borderId="21" xfId="51" applyFont="1" applyBorder="1" applyAlignment="1">
      <alignment horizontal="left"/>
    </xf>
    <xf numFmtId="189" fontId="41" fillId="0" borderId="21" xfId="51" applyNumberFormat="1" applyFont="1" applyFill="1" applyBorder="1"/>
    <xf numFmtId="43" fontId="41" fillId="0" borderId="20" xfId="52" applyFont="1" applyFill="1" applyBorder="1"/>
    <xf numFmtId="43" fontId="41" fillId="0" borderId="20" xfId="51" applyNumberFormat="1" applyFont="1" applyFill="1" applyBorder="1"/>
    <xf numFmtId="43" fontId="41" fillId="0" borderId="15" xfId="51" applyNumberFormat="1" applyFont="1" applyFill="1" applyBorder="1"/>
    <xf numFmtId="0" fontId="39" fillId="0" borderId="16" xfId="51" applyFont="1" applyBorder="1" applyAlignment="1">
      <alignment horizontal="left"/>
    </xf>
    <xf numFmtId="0" fontId="38" fillId="0" borderId="31" xfId="51" applyFont="1" applyBorder="1" applyAlignment="1">
      <alignment shrinkToFit="1"/>
    </xf>
    <xf numFmtId="0" fontId="38" fillId="0" borderId="31" xfId="51" applyFont="1" applyBorder="1"/>
    <xf numFmtId="189" fontId="38" fillId="0" borderId="31" xfId="51" applyNumberFormat="1" applyFont="1" applyFill="1" applyBorder="1"/>
    <xf numFmtId="0" fontId="38" fillId="0" borderId="31" xfId="51" applyFont="1" applyBorder="1" applyAlignment="1">
      <alignment horizontal="center"/>
    </xf>
    <xf numFmtId="0" fontId="41" fillId="0" borderId="2" xfId="51" applyFont="1" applyFill="1" applyBorder="1"/>
    <xf numFmtId="43" fontId="53" fillId="0" borderId="2" xfId="51" applyNumberFormat="1" applyFont="1" applyFill="1" applyBorder="1"/>
    <xf numFmtId="43" fontId="42" fillId="0" borderId="0" xfId="52" applyFont="1"/>
    <xf numFmtId="43" fontId="38" fillId="0" borderId="0" xfId="52" applyFont="1"/>
    <xf numFmtId="0" fontId="38" fillId="0" borderId="0" xfId="51" applyFont="1" applyAlignment="1">
      <alignment horizontal="center"/>
    </xf>
    <xf numFmtId="0" fontId="38" fillId="0" borderId="0" xfId="51" applyFont="1" applyAlignment="1">
      <alignment shrinkToFit="1"/>
    </xf>
    <xf numFmtId="0" fontId="38" fillId="0" borderId="0" xfId="51" applyFont="1" applyFill="1" applyBorder="1"/>
    <xf numFmtId="43" fontId="41" fillId="0" borderId="0" xfId="51" applyNumberFormat="1" applyFont="1" applyFill="1"/>
    <xf numFmtId="43" fontId="53" fillId="0" borderId="0" xfId="51" applyNumberFormat="1" applyFont="1" applyFill="1"/>
    <xf numFmtId="0" fontId="41" fillId="0" borderId="0" xfId="51" applyFont="1" applyFill="1"/>
    <xf numFmtId="43" fontId="38" fillId="0" borderId="0" xfId="51" applyNumberFormat="1" applyFont="1" applyFill="1" applyBorder="1"/>
    <xf numFmtId="43" fontId="38" fillId="0" borderId="0" xfId="51" applyNumberFormat="1" applyFont="1" applyAlignment="1">
      <alignment horizontal="center"/>
    </xf>
    <xf numFmtId="43" fontId="44" fillId="0" borderId="0" xfId="1" applyFont="1"/>
    <xf numFmtId="0" fontId="55" fillId="0" borderId="0" xfId="38" applyFont="1" applyAlignment="1" applyProtection="1">
      <alignment vertical="center"/>
    </xf>
    <xf numFmtId="43" fontId="43" fillId="0" borderId="21" xfId="1" applyFont="1" applyBorder="1" applyAlignment="1" applyProtection="1">
      <alignment horizontal="center" vertical="center" wrapText="1"/>
    </xf>
    <xf numFmtId="0" fontId="43" fillId="0" borderId="0" xfId="38" applyFont="1" applyAlignment="1" applyProtection="1">
      <alignment horizontal="center" vertical="center" wrapText="1"/>
    </xf>
    <xf numFmtId="0" fontId="47" fillId="0" borderId="13" xfId="38" applyFont="1" applyBorder="1" applyAlignment="1" applyProtection="1">
      <alignment vertical="center"/>
    </xf>
    <xf numFmtId="0" fontId="43" fillId="0" borderId="14" xfId="38" applyFont="1" applyBorder="1" applyAlignment="1" applyProtection="1">
      <alignment vertical="center"/>
    </xf>
    <xf numFmtId="43" fontId="43" fillId="0" borderId="15" xfId="1" applyFont="1" applyBorder="1" applyAlignment="1" applyProtection="1"/>
    <xf numFmtId="43" fontId="43" fillId="0" borderId="15" xfId="1" applyFont="1" applyBorder="1" applyAlignment="1" applyProtection="1">
      <alignment vertical="center"/>
    </xf>
    <xf numFmtId="0" fontId="56" fillId="0" borderId="0" xfId="38" applyFont="1" applyAlignment="1" applyProtection="1">
      <alignment vertical="center"/>
    </xf>
    <xf numFmtId="0" fontId="43" fillId="0" borderId="0" xfId="38" applyFont="1" applyAlignment="1" applyProtection="1">
      <alignment vertical="center"/>
    </xf>
    <xf numFmtId="43" fontId="43" fillId="0" borderId="35" xfId="1" applyFont="1" applyBorder="1" applyAlignment="1" applyProtection="1"/>
    <xf numFmtId="43" fontId="43" fillId="0" borderId="35" xfId="1" applyFont="1" applyBorder="1" applyAlignment="1" applyProtection="1">
      <alignment vertical="center"/>
    </xf>
    <xf numFmtId="43" fontId="41" fillId="0" borderId="35" xfId="1" applyFont="1" applyBorder="1" applyAlignment="1" applyProtection="1">
      <alignment vertical="center"/>
    </xf>
    <xf numFmtId="43" fontId="56" fillId="0" borderId="0" xfId="38" applyNumberFormat="1" applyFont="1" applyAlignment="1" applyProtection="1">
      <alignment vertical="center"/>
    </xf>
    <xf numFmtId="43" fontId="46" fillId="0" borderId="35" xfId="1" applyFont="1" applyBorder="1" applyAlignment="1" applyProtection="1"/>
    <xf numFmtId="43" fontId="56" fillId="0" borderId="0" xfId="1" applyFont="1" applyBorder="1" applyAlignment="1" applyProtection="1">
      <alignment vertical="center"/>
    </xf>
    <xf numFmtId="43" fontId="46" fillId="0" borderId="35" xfId="1" applyFont="1" applyBorder="1" applyAlignment="1" applyProtection="1">
      <alignment vertical="center"/>
    </xf>
    <xf numFmtId="43" fontId="43" fillId="0" borderId="41" xfId="1" applyFont="1" applyBorder="1" applyAlignment="1" applyProtection="1"/>
    <xf numFmtId="43" fontId="52" fillId="0" borderId="37" xfId="1" applyFont="1" applyBorder="1" applyAlignment="1" applyProtection="1"/>
    <xf numFmtId="43" fontId="58" fillId="0" borderId="37" xfId="1" applyFont="1" applyBorder="1" applyAlignment="1" applyProtection="1"/>
    <xf numFmtId="0" fontId="59" fillId="0" borderId="0" xfId="38" applyFont="1" applyAlignment="1" applyProtection="1">
      <alignment vertical="center"/>
    </xf>
    <xf numFmtId="43" fontId="59" fillId="0" borderId="0" xfId="38" applyNumberFormat="1" applyFont="1" applyAlignment="1" applyProtection="1">
      <alignment vertical="center"/>
    </xf>
    <xf numFmtId="0" fontId="41" fillId="0" borderId="0" xfId="38" applyFont="1" applyAlignment="1" applyProtection="1">
      <alignment vertical="center"/>
    </xf>
    <xf numFmtId="0" fontId="41" fillId="0" borderId="0" xfId="38" applyFont="1" applyBorder="1" applyAlignment="1" applyProtection="1">
      <alignment vertical="center"/>
    </xf>
    <xf numFmtId="0" fontId="41" fillId="0" borderId="0" xfId="38" applyFont="1" applyBorder="1" applyAlignment="1" applyProtection="1">
      <alignment horizontal="center" vertical="center"/>
    </xf>
    <xf numFmtId="43" fontId="52" fillId="0" borderId="0" xfId="1" applyFont="1" applyBorder="1" applyAlignment="1" applyProtection="1"/>
    <xf numFmtId="43" fontId="58" fillId="0" borderId="0" xfId="1" applyFont="1" applyBorder="1" applyAlignment="1" applyProtection="1"/>
    <xf numFmtId="0" fontId="43" fillId="0" borderId="0" xfId="38" applyFont="1" applyBorder="1" applyAlignment="1" applyProtection="1">
      <alignment vertical="center"/>
    </xf>
    <xf numFmtId="0" fontId="45" fillId="0" borderId="0" xfId="38" applyFont="1" applyBorder="1" applyAlignment="1" applyProtection="1">
      <alignment horizontal="center" vertical="center"/>
    </xf>
    <xf numFmtId="43" fontId="45" fillId="0" borderId="0" xfId="1" applyFont="1" applyBorder="1" applyAlignment="1" applyProtection="1"/>
    <xf numFmtId="0" fontId="43" fillId="0" borderId="0" xfId="38" applyFont="1" applyBorder="1" applyAlignment="1" applyProtection="1">
      <alignment horizontal="center" vertical="center"/>
    </xf>
    <xf numFmtId="43" fontId="60" fillId="0" borderId="0" xfId="1" applyFont="1" applyFill="1" applyBorder="1" applyAlignment="1" applyProtection="1"/>
    <xf numFmtId="0" fontId="48" fillId="0" borderId="0" xfId="38" applyFont="1" applyAlignment="1" applyProtection="1">
      <alignment vertical="center"/>
    </xf>
    <xf numFmtId="0" fontId="48" fillId="0" borderId="0" xfId="38" applyFont="1" applyBorder="1" applyAlignment="1" applyProtection="1">
      <alignment vertical="center"/>
    </xf>
    <xf numFmtId="0" fontId="34" fillId="0" borderId="32" xfId="0" applyFont="1" applyBorder="1"/>
    <xf numFmtId="43" fontId="56" fillId="0" borderId="0" xfId="1" applyFont="1" applyBorder="1" applyAlignment="1" applyProtection="1"/>
    <xf numFmtId="0" fontId="56" fillId="0" borderId="0" xfId="0" applyFont="1" applyBorder="1"/>
    <xf numFmtId="43" fontId="56" fillId="0" borderId="0" xfId="1" applyFont="1" applyBorder="1"/>
    <xf numFmtId="43" fontId="41" fillId="0" borderId="27" xfId="1" applyFont="1" applyBorder="1" applyAlignment="1" applyProtection="1"/>
    <xf numFmtId="43" fontId="56" fillId="0" borderId="0" xfId="0" applyNumberFormat="1" applyFont="1" applyBorder="1"/>
    <xf numFmtId="43" fontId="41" fillId="0" borderId="27" xfId="1" applyFont="1" applyBorder="1" applyAlignment="1" applyProtection="1">
      <alignment vertical="center"/>
    </xf>
    <xf numFmtId="43" fontId="43" fillId="0" borderId="41" xfId="1" applyFont="1" applyBorder="1" applyAlignment="1" applyProtection="1">
      <alignment vertical="center"/>
    </xf>
    <xf numFmtId="0" fontId="61" fillId="0" borderId="32" xfId="0" applyFont="1" applyBorder="1"/>
    <xf numFmtId="0" fontId="61" fillId="0" borderId="0" xfId="0" applyFont="1" applyBorder="1"/>
    <xf numFmtId="0" fontId="61" fillId="0" borderId="0" xfId="0" applyFont="1"/>
    <xf numFmtId="43" fontId="50" fillId="0" borderId="0" xfId="1" applyFont="1" applyBorder="1" applyAlignment="1" applyProtection="1"/>
    <xf numFmtId="43" fontId="62" fillId="0" borderId="0" xfId="1" applyFont="1" applyBorder="1" applyAlignment="1" applyProtection="1"/>
    <xf numFmtId="43" fontId="63" fillId="0" borderId="0" xfId="0" applyNumberFormat="1" applyFont="1" applyBorder="1"/>
    <xf numFmtId="43" fontId="43" fillId="0" borderId="36" xfId="1" applyFont="1" applyBorder="1" applyAlignment="1" applyProtection="1">
      <alignment vertical="center"/>
    </xf>
    <xf numFmtId="43" fontId="34" fillId="0" borderId="0" xfId="0" applyNumberFormat="1" applyFont="1"/>
    <xf numFmtId="43" fontId="46" fillId="0" borderId="27" xfId="1" applyFont="1" applyBorder="1" applyAlignment="1" applyProtection="1"/>
    <xf numFmtId="0" fontId="43" fillId="0" borderId="18" xfId="38" applyFont="1" applyBorder="1" applyAlignment="1" applyProtection="1">
      <alignment vertical="center"/>
    </xf>
    <xf numFmtId="43" fontId="41" fillId="0" borderId="0" xfId="1" applyFont="1" applyBorder="1" applyAlignment="1" applyProtection="1"/>
    <xf numFmtId="43" fontId="43" fillId="0" borderId="0" xfId="1" applyFont="1" applyBorder="1" applyAlignment="1" applyProtection="1"/>
    <xf numFmtId="0" fontId="34" fillId="0" borderId="35" xfId="0" applyFont="1" applyBorder="1"/>
    <xf numFmtId="43" fontId="60" fillId="0" borderId="0" xfId="1" applyFont="1" applyBorder="1" applyAlignment="1" applyProtection="1"/>
    <xf numFmtId="43" fontId="43" fillId="0" borderId="34" xfId="1" applyFont="1" applyBorder="1" applyAlignment="1" applyProtection="1"/>
    <xf numFmtId="0" fontId="48" fillId="0" borderId="0" xfId="38" applyFont="1" applyBorder="1" applyAlignment="1" applyProtection="1">
      <alignment horizontal="center" vertical="center"/>
    </xf>
    <xf numFmtId="43" fontId="56" fillId="0" borderId="0" xfId="0" applyNumberFormat="1" applyFont="1"/>
    <xf numFmtId="43" fontId="41" fillId="0" borderId="41" xfId="1" applyFont="1" applyBorder="1" applyAlignment="1" applyProtection="1">
      <alignment vertical="center"/>
    </xf>
    <xf numFmtId="0" fontId="48" fillId="0" borderId="0" xfId="38" applyFont="1" applyAlignment="1" applyProtection="1">
      <alignment horizontal="left" vertical="center"/>
    </xf>
    <xf numFmtId="0" fontId="29" fillId="0" borderId="0" xfId="0" applyFont="1" applyAlignment="1">
      <alignment horizontal="left"/>
    </xf>
    <xf numFmtId="0" fontId="48" fillId="0" borderId="0" xfId="38" applyFont="1" applyBorder="1" applyAlignment="1" applyProtection="1">
      <alignment horizontal="left" vertical="center"/>
    </xf>
    <xf numFmtId="43" fontId="34" fillId="0" borderId="0" xfId="1" applyFont="1" applyBorder="1"/>
    <xf numFmtId="43" fontId="57" fillId="0" borderId="27" xfId="1" applyFont="1" applyBorder="1" applyAlignment="1" applyProtection="1">
      <alignment vertical="center"/>
    </xf>
    <xf numFmtId="43" fontId="46" fillId="0" borderId="32" xfId="1" applyFont="1" applyBorder="1" applyAlignment="1" applyProtection="1"/>
    <xf numFmtId="0" fontId="29" fillId="0" borderId="0" xfId="0" applyFont="1" applyAlignment="1"/>
    <xf numFmtId="43" fontId="43" fillId="0" borderId="32" xfId="1" applyFont="1" applyBorder="1" applyAlignment="1" applyProtection="1">
      <alignment vertical="center"/>
    </xf>
    <xf numFmtId="43" fontId="46" fillId="0" borderId="41" xfId="1" applyFont="1" applyBorder="1" applyAlignment="1" applyProtection="1">
      <alignment vertical="center"/>
    </xf>
    <xf numFmtId="43" fontId="45" fillId="0" borderId="32" xfId="1" applyFont="1" applyBorder="1" applyAlignment="1" applyProtection="1"/>
    <xf numFmtId="43" fontId="46" fillId="0" borderId="27" xfId="1" applyFont="1" applyBorder="1" applyAlignment="1" applyProtection="1">
      <alignment vertical="center"/>
    </xf>
    <xf numFmtId="49" fontId="36" fillId="0" borderId="0" xfId="0" applyNumberFormat="1" applyFont="1" applyAlignment="1">
      <alignment horizontal="left"/>
    </xf>
    <xf numFmtId="49" fontId="24" fillId="0" borderId="0" xfId="0" applyNumberFormat="1" applyFont="1" applyAlignment="1"/>
    <xf numFmtId="43" fontId="43" fillId="0" borderId="25" xfId="1" applyFont="1" applyBorder="1" applyAlignment="1" applyProtection="1"/>
    <xf numFmtId="43" fontId="43" fillId="0" borderId="26" xfId="1" applyFont="1" applyBorder="1" applyAlignment="1" applyProtection="1"/>
    <xf numFmtId="43" fontId="43" fillId="0" borderId="29" xfId="1" applyFont="1" applyBorder="1" applyAlignment="1" applyProtection="1"/>
    <xf numFmtId="43" fontId="43" fillId="0" borderId="30" xfId="1" applyFont="1" applyBorder="1" applyAlignment="1" applyProtection="1">
      <alignment horizontal="left" wrapText="1"/>
    </xf>
    <xf numFmtId="43" fontId="43" fillId="0" borderId="30" xfId="1" applyFont="1" applyBorder="1" applyAlignment="1" applyProtection="1"/>
    <xf numFmtId="43" fontId="46" fillId="0" borderId="34" xfId="1" applyFont="1" applyBorder="1" applyAlignment="1" applyProtection="1"/>
    <xf numFmtId="43" fontId="46" fillId="0" borderId="37" xfId="1" applyFont="1" applyBorder="1" applyAlignment="1" applyProtection="1"/>
    <xf numFmtId="43" fontId="46" fillId="0" borderId="0" xfId="1" applyFont="1" applyBorder="1" applyAlignment="1" applyProtection="1"/>
    <xf numFmtId="43" fontId="46" fillId="0" borderId="39" xfId="1" applyFont="1" applyBorder="1" applyAlignment="1" applyProtection="1"/>
    <xf numFmtId="43" fontId="46" fillId="0" borderId="0" xfId="1" applyFont="1" applyAlignment="1" applyProtection="1">
      <alignment vertical="center"/>
    </xf>
    <xf numFmtId="43" fontId="43" fillId="0" borderId="34" xfId="1" applyFont="1" applyBorder="1" applyAlignment="1" applyProtection="1">
      <alignment vertical="center"/>
    </xf>
    <xf numFmtId="43" fontId="43" fillId="0" borderId="28" xfId="1" applyFont="1" applyBorder="1" applyAlignment="1" applyProtection="1"/>
    <xf numFmtId="43" fontId="41" fillId="0" borderId="36" xfId="1" applyFont="1" applyBorder="1" applyAlignment="1" applyProtection="1"/>
    <xf numFmtId="43" fontId="44" fillId="0" borderId="0" xfId="1" applyFont="1" applyBorder="1" applyAlignment="1" applyProtection="1"/>
    <xf numFmtId="0" fontId="47" fillId="0" borderId="0" xfId="38" applyFont="1" applyBorder="1" applyAlignment="1" applyProtection="1">
      <alignment vertical="center"/>
    </xf>
    <xf numFmtId="0" fontId="46" fillId="0" borderId="0" xfId="38" applyFont="1" applyBorder="1" applyAlignment="1" applyProtection="1">
      <alignment vertical="center"/>
    </xf>
    <xf numFmtId="43" fontId="43" fillId="0" borderId="36" xfId="1" applyFont="1" applyBorder="1" applyAlignment="1" applyProtection="1"/>
    <xf numFmtId="43" fontId="46" fillId="0" borderId="36" xfId="1" applyFont="1" applyBorder="1" applyAlignment="1" applyProtection="1"/>
    <xf numFmtId="43" fontId="43" fillId="0" borderId="24" xfId="1" applyFont="1" applyBorder="1" applyAlignment="1" applyProtection="1"/>
    <xf numFmtId="43" fontId="43" fillId="0" borderId="24" xfId="1" applyFont="1" applyBorder="1" applyAlignment="1" applyProtection="1">
      <alignment vertical="center"/>
    </xf>
    <xf numFmtId="0" fontId="47" fillId="0" borderId="22" xfId="38" applyFont="1" applyBorder="1" applyAlignment="1" applyProtection="1">
      <alignment vertical="center"/>
    </xf>
    <xf numFmtId="43" fontId="45" fillId="0" borderId="44" xfId="1" applyFont="1" applyBorder="1" applyAlignment="1" applyProtection="1">
      <alignment horizontal="left" vertical="top"/>
    </xf>
    <xf numFmtId="0" fontId="43" fillId="0" borderId="24" xfId="38" applyFont="1" applyBorder="1" applyAlignment="1" applyProtection="1">
      <alignment vertical="center"/>
    </xf>
    <xf numFmtId="43" fontId="41" fillId="0" borderId="36" xfId="1" applyFont="1" applyBorder="1" applyAlignment="1" applyProtection="1">
      <alignment vertical="center"/>
    </xf>
    <xf numFmtId="0" fontId="45" fillId="0" borderId="16" xfId="38" applyFont="1" applyBorder="1" applyAlignment="1" applyProtection="1">
      <alignment horizontal="center" vertical="center" wrapText="1"/>
    </xf>
    <xf numFmtId="0" fontId="45" fillId="0" borderId="21" xfId="38" applyFont="1" applyBorder="1" applyAlignment="1" applyProtection="1">
      <alignment horizontal="center" vertical="center" wrapText="1"/>
    </xf>
    <xf numFmtId="43" fontId="45" fillId="0" borderId="21" xfId="1" applyFont="1" applyBorder="1" applyAlignment="1" applyProtection="1">
      <alignment horizontal="center" vertical="center" wrapText="1"/>
    </xf>
    <xf numFmtId="0" fontId="60" fillId="0" borderId="0" xfId="38" applyFont="1" applyAlignment="1" applyProtection="1">
      <alignment horizontal="center" vertical="center" wrapText="1"/>
    </xf>
    <xf numFmtId="0" fontId="45" fillId="0" borderId="0" xfId="38" applyFont="1" applyAlignment="1" applyProtection="1">
      <alignment horizontal="center" vertical="center" wrapText="1"/>
    </xf>
    <xf numFmtId="43" fontId="61" fillId="0" borderId="32" xfId="1" applyFont="1" applyBorder="1" applyAlignment="1">
      <alignment horizontal="left"/>
    </xf>
    <xf numFmtId="43" fontId="61" fillId="0" borderId="0" xfId="1" applyFont="1" applyAlignment="1">
      <alignment horizontal="left"/>
    </xf>
    <xf numFmtId="43" fontId="46" fillId="0" borderId="27" xfId="1" applyFont="1" applyBorder="1" applyAlignment="1" applyProtection="1">
      <alignment horizontal="left"/>
    </xf>
    <xf numFmtId="43" fontId="46" fillId="0" borderId="41" xfId="1" applyFont="1" applyBorder="1" applyAlignment="1" applyProtection="1">
      <alignment horizontal="left"/>
    </xf>
    <xf numFmtId="43" fontId="46" fillId="0" borderId="28" xfId="1" applyFont="1" applyBorder="1" applyAlignment="1" applyProtection="1">
      <alignment horizontal="left"/>
    </xf>
    <xf numFmtId="43" fontId="34" fillId="0" borderId="27" xfId="1" applyFont="1" applyBorder="1" applyAlignment="1">
      <alignment horizontal="left" vertical="top"/>
    </xf>
    <xf numFmtId="43" fontId="43" fillId="0" borderId="25" xfId="1" applyFont="1" applyBorder="1" applyAlignment="1" applyProtection="1">
      <alignment horizontal="left" vertical="top"/>
    </xf>
    <xf numFmtId="0" fontId="35" fillId="0" borderId="0" xfId="0" applyFont="1" applyBorder="1"/>
    <xf numFmtId="0" fontId="35" fillId="0" borderId="0" xfId="0" applyFont="1"/>
    <xf numFmtId="43" fontId="60" fillId="0" borderId="0" xfId="1" applyFont="1" applyBorder="1" applyAlignment="1" applyProtection="1">
      <alignment horizontal="center" vertical="center" wrapText="1"/>
    </xf>
    <xf numFmtId="0" fontId="60" fillId="0" borderId="0" xfId="0" applyFont="1" applyBorder="1"/>
    <xf numFmtId="43" fontId="45" fillId="0" borderId="32" xfId="1" applyFont="1" applyBorder="1" applyAlignment="1" applyProtection="1">
      <alignment horizontal="center" vertical="center" wrapText="1"/>
    </xf>
    <xf numFmtId="43" fontId="60" fillId="0" borderId="0" xfId="1" applyFont="1" applyFill="1" applyBorder="1" applyAlignment="1" applyProtection="1">
      <alignment horizontal="center" vertical="center" wrapText="1"/>
    </xf>
    <xf numFmtId="43" fontId="52" fillId="0" borderId="21" xfId="1" applyFont="1" applyBorder="1" applyAlignment="1" applyProtection="1">
      <alignment horizontal="center" vertical="center" wrapText="1"/>
    </xf>
    <xf numFmtId="43" fontId="45" fillId="0" borderId="0" xfId="1" applyFont="1" applyBorder="1" applyAlignment="1" applyProtection="1">
      <alignment horizontal="center" vertical="center" wrapText="1"/>
    </xf>
    <xf numFmtId="43" fontId="45" fillId="0" borderId="0" xfId="1" applyFont="1" applyFill="1" applyBorder="1" applyAlignment="1" applyProtection="1">
      <alignment horizontal="center" vertical="center" wrapText="1"/>
    </xf>
    <xf numFmtId="43" fontId="45" fillId="0" borderId="16" xfId="1" applyFont="1" applyBorder="1" applyAlignment="1" applyProtection="1">
      <alignment horizontal="center" vertical="center" wrapText="1"/>
    </xf>
    <xf numFmtId="0" fontId="35" fillId="0" borderId="32" xfId="0" applyFont="1" applyBorder="1"/>
    <xf numFmtId="43" fontId="26" fillId="0" borderId="21" xfId="1" applyFont="1" applyBorder="1" applyAlignment="1">
      <alignment horizontal="center"/>
    </xf>
    <xf numFmtId="0" fontId="28" fillId="0" borderId="22" xfId="0" applyFont="1" applyBorder="1"/>
    <xf numFmtId="0" fontId="26" fillId="0" borderId="23" xfId="0" applyFont="1" applyBorder="1"/>
    <xf numFmtId="43" fontId="26" fillId="0" borderId="24" xfId="1" applyFont="1" applyBorder="1"/>
    <xf numFmtId="0" fontId="26" fillId="0" borderId="24" xfId="0" applyFont="1" applyBorder="1"/>
    <xf numFmtId="43" fontId="26" fillId="0" borderId="27" xfId="1" applyFont="1" applyBorder="1"/>
    <xf numFmtId="0" fontId="26" fillId="0" borderId="25" xfId="0" applyFont="1" applyBorder="1"/>
    <xf numFmtId="0" fontId="26" fillId="0" borderId="26" xfId="0" applyFont="1" applyBorder="1"/>
    <xf numFmtId="0" fontId="26" fillId="0" borderId="27" xfId="0" applyFont="1" applyBorder="1"/>
    <xf numFmtId="0" fontId="28" fillId="0" borderId="25" xfId="0" applyFont="1" applyBorder="1"/>
    <xf numFmtId="0" fontId="26" fillId="0" borderId="28" xfId="0" applyFont="1" applyBorder="1"/>
    <xf numFmtId="43" fontId="26" fillId="0" borderId="28" xfId="1" applyFont="1" applyBorder="1"/>
    <xf numFmtId="43" fontId="28" fillId="0" borderId="21" xfId="1" applyFont="1" applyBorder="1"/>
    <xf numFmtId="0" fontId="28" fillId="0" borderId="21" xfId="0" applyFont="1" applyBorder="1"/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49" fillId="0" borderId="0" xfId="0" applyFont="1"/>
    <xf numFmtId="43" fontId="32" fillId="0" borderId="0" xfId="1" applyFont="1" applyBorder="1"/>
    <xf numFmtId="43" fontId="32" fillId="0" borderId="0" xfId="0" applyNumberFormat="1" applyFont="1"/>
    <xf numFmtId="187" fontId="24" fillId="0" borderId="0" xfId="1" applyNumberFormat="1" applyFont="1" applyBorder="1"/>
    <xf numFmtId="187" fontId="24" fillId="0" borderId="2" xfId="1" applyNumberFormat="1" applyFont="1" applyBorder="1"/>
    <xf numFmtId="43" fontId="24" fillId="0" borderId="36" xfId="1" applyFont="1" applyBorder="1"/>
    <xf numFmtId="43" fontId="24" fillId="0" borderId="3" xfId="1" applyFont="1" applyBorder="1"/>
    <xf numFmtId="43" fontId="24" fillId="0" borderId="0" xfId="0" applyNumberFormat="1" applyFont="1" applyBorder="1"/>
    <xf numFmtId="0" fontId="68" fillId="0" borderId="0" xfId="55" applyFont="1"/>
    <xf numFmtId="43" fontId="68" fillId="0" borderId="0" xfId="56" applyFont="1" applyBorder="1" applyAlignment="1">
      <alignment horizontal="center" vertical="center"/>
    </xf>
    <xf numFmtId="0" fontId="68" fillId="0" borderId="0" xfId="55" applyFont="1" applyAlignment="1">
      <alignment horizontal="center" vertical="center"/>
    </xf>
    <xf numFmtId="43" fontId="68" fillId="0" borderId="0" xfId="56" applyFont="1"/>
    <xf numFmtId="0" fontId="68" fillId="0" borderId="0" xfId="55" applyFont="1" applyBorder="1" applyAlignment="1">
      <alignment horizontal="center"/>
    </xf>
    <xf numFmtId="189" fontId="68" fillId="0" borderId="0" xfId="56" applyNumberFormat="1" applyFont="1" applyBorder="1" applyAlignment="1">
      <alignment horizontal="center"/>
    </xf>
    <xf numFmtId="189" fontId="68" fillId="0" borderId="0" xfId="56" applyNumberFormat="1" applyFont="1" applyBorder="1"/>
    <xf numFmtId="0" fontId="68" fillId="0" borderId="0" xfId="55" applyFont="1" applyBorder="1"/>
    <xf numFmtId="0" fontId="68" fillId="0" borderId="0" xfId="55" applyFont="1" applyAlignment="1">
      <alignment horizontal="center"/>
    </xf>
    <xf numFmtId="0" fontId="67" fillId="0" borderId="31" xfId="55" applyFont="1" applyBorder="1" applyAlignment="1">
      <alignment horizontal="center" vertical="center"/>
    </xf>
    <xf numFmtId="0" fontId="67" fillId="0" borderId="21" xfId="55" applyFont="1" applyBorder="1" applyAlignment="1">
      <alignment horizontal="center" vertical="center"/>
    </xf>
    <xf numFmtId="43" fontId="67" fillId="0" borderId="31" xfId="56" applyFont="1" applyBorder="1" applyAlignment="1">
      <alignment horizontal="center" vertical="center"/>
    </xf>
    <xf numFmtId="43" fontId="67" fillId="0" borderId="21" xfId="56" applyFont="1" applyBorder="1" applyAlignment="1">
      <alignment horizontal="center" vertical="center"/>
    </xf>
    <xf numFmtId="43" fontId="67" fillId="0" borderId="0" xfId="56" applyFont="1" applyBorder="1" applyAlignment="1">
      <alignment horizontal="center" vertical="center"/>
    </xf>
    <xf numFmtId="43" fontId="68" fillId="0" borderId="45" xfId="54" applyNumberFormat="1" applyFont="1" applyBorder="1"/>
    <xf numFmtId="43" fontId="68" fillId="0" borderId="24" xfId="56" applyFont="1" applyBorder="1"/>
    <xf numFmtId="43" fontId="68" fillId="0" borderId="0" xfId="56" applyFont="1" applyBorder="1"/>
    <xf numFmtId="43" fontId="68" fillId="0" borderId="27" xfId="56" applyFont="1" applyBorder="1" applyAlignment="1">
      <alignment horizontal="center" vertical="center"/>
    </xf>
    <xf numFmtId="43" fontId="68" fillId="0" borderId="0" xfId="55" applyNumberFormat="1" applyFont="1" applyAlignment="1">
      <alignment horizontal="center" vertical="center"/>
    </xf>
    <xf numFmtId="190" fontId="69" fillId="0" borderId="35" xfId="54" applyFont="1" applyBorder="1" applyAlignment="1">
      <alignment horizontal="center" vertical="top"/>
    </xf>
    <xf numFmtId="190" fontId="68" fillId="0" borderId="25" xfId="54" applyFont="1" applyBorder="1" applyAlignment="1">
      <alignment horizontal="center" vertical="top"/>
    </xf>
    <xf numFmtId="190" fontId="68" fillId="0" borderId="35" xfId="54" applyFont="1" applyBorder="1" applyAlignment="1">
      <alignment horizontal="center" vertical="top"/>
    </xf>
    <xf numFmtId="190" fontId="68" fillId="0" borderId="27" xfId="54" applyFont="1" applyBorder="1" applyAlignment="1">
      <alignment horizontal="center" vertical="top"/>
    </xf>
    <xf numFmtId="0" fontId="69" fillId="0" borderId="0" xfId="55" applyFont="1" applyAlignment="1">
      <alignment horizontal="center" vertical="center"/>
    </xf>
    <xf numFmtId="43" fontId="68" fillId="0" borderId="49" xfId="56" applyFont="1" applyBorder="1" applyAlignment="1">
      <alignment horizontal="center" vertical="center"/>
    </xf>
    <xf numFmtId="190" fontId="68" fillId="0" borderId="0" xfId="55" applyNumberFormat="1" applyFont="1" applyAlignment="1">
      <alignment horizontal="center" vertical="center"/>
    </xf>
    <xf numFmtId="190" fontId="68" fillId="0" borderId="41" xfId="54" applyFont="1" applyBorder="1" applyAlignment="1">
      <alignment horizontal="center" vertical="top"/>
    </xf>
    <xf numFmtId="0" fontId="68" fillId="0" borderId="33" xfId="55" applyFont="1" applyBorder="1" applyAlignment="1">
      <alignment horizontal="center" vertical="center"/>
    </xf>
    <xf numFmtId="190" fontId="68" fillId="0" borderId="47" xfId="56" applyNumberFormat="1" applyFont="1" applyBorder="1" applyAlignment="1">
      <alignment horizontal="center" vertical="center"/>
    </xf>
    <xf numFmtId="190" fontId="68" fillId="0" borderId="40" xfId="56" applyNumberFormat="1" applyFont="1" applyBorder="1" applyAlignment="1">
      <alignment horizontal="center" vertical="center"/>
    </xf>
    <xf numFmtId="43" fontId="68" fillId="0" borderId="41" xfId="56" applyFont="1" applyBorder="1" applyAlignment="1">
      <alignment horizontal="center" vertical="center"/>
    </xf>
    <xf numFmtId="49" fontId="24" fillId="0" borderId="0" xfId="1" applyNumberFormat="1" applyFont="1" applyAlignment="1">
      <alignment horizontal="right"/>
    </xf>
    <xf numFmtId="0" fontId="70" fillId="0" borderId="0" xfId="0" applyFont="1"/>
    <xf numFmtId="0" fontId="24" fillId="0" borderId="0" xfId="0" applyFont="1" applyAlignment="1"/>
    <xf numFmtId="43" fontId="24" fillId="0" borderId="0" xfId="1" applyFont="1" applyAlignment="1"/>
    <xf numFmtId="43" fontId="71" fillId="0" borderId="0" xfId="1" applyNumberFormat="1" applyFont="1"/>
    <xf numFmtId="43" fontId="24" fillId="0" borderId="0" xfId="1" applyNumberFormat="1" applyFont="1"/>
    <xf numFmtId="43" fontId="24" fillId="0" borderId="2" xfId="1" applyFont="1" applyBorder="1"/>
    <xf numFmtId="0" fontId="72" fillId="0" borderId="0" xfId="0" applyFont="1"/>
    <xf numFmtId="49" fontId="24" fillId="0" borderId="0" xfId="0" applyNumberFormat="1" applyFont="1" applyAlignment="1">
      <alignment horizontal="right"/>
    </xf>
    <xf numFmtId="43" fontId="36" fillId="0" borderId="0" xfId="0" applyNumberFormat="1" applyFont="1" applyAlignment="1">
      <alignment horizontal="center"/>
    </xf>
    <xf numFmtId="43" fontId="36" fillId="0" borderId="0" xfId="0" applyNumberFormat="1" applyFont="1"/>
    <xf numFmtId="0" fontId="73" fillId="0" borderId="0" xfId="0" applyFont="1"/>
    <xf numFmtId="49" fontId="24" fillId="0" borderId="0" xfId="0" applyNumberFormat="1" applyFont="1" applyAlignment="1">
      <alignment vertical="top" wrapText="1"/>
    </xf>
    <xf numFmtId="43" fontId="34" fillId="0" borderId="0" xfId="1" applyFont="1"/>
    <xf numFmtId="43" fontId="43" fillId="0" borderId="0" xfId="1" applyFont="1"/>
    <xf numFmtId="43" fontId="24" fillId="0" borderId="0" xfId="1" applyFont="1" applyBorder="1"/>
    <xf numFmtId="0" fontId="24" fillId="0" borderId="0" xfId="0" applyFont="1" applyBorder="1"/>
    <xf numFmtId="43" fontId="75" fillId="0" borderId="37" xfId="1" applyFont="1" applyBorder="1" applyAlignment="1" applyProtection="1"/>
    <xf numFmtId="49" fontId="24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0" fontId="67" fillId="0" borderId="0" xfId="55" applyFont="1" applyAlignment="1">
      <alignment horizontal="center" vertical="center"/>
    </xf>
    <xf numFmtId="0" fontId="68" fillId="0" borderId="0" xfId="55" applyFont="1" applyBorder="1" applyAlignment="1">
      <alignment horizontal="left"/>
    </xf>
    <xf numFmtId="0" fontId="67" fillId="0" borderId="0" xfId="55" applyFont="1" applyBorder="1" applyAlignment="1">
      <alignment horizontal="center" vertical="center"/>
    </xf>
    <xf numFmtId="0" fontId="68" fillId="0" borderId="0" xfId="55" applyFont="1" applyBorder="1" applyAlignment="1">
      <alignment horizontal="center" vertical="center"/>
    </xf>
    <xf numFmtId="43" fontId="74" fillId="0" borderId="38" xfId="1" applyFont="1" applyBorder="1" applyAlignment="1" applyProtection="1"/>
    <xf numFmtId="43" fontId="74" fillId="0" borderId="36" xfId="1" applyFont="1" applyBorder="1" applyAlignment="1" applyProtection="1">
      <alignment vertical="center"/>
    </xf>
    <xf numFmtId="0" fontId="44" fillId="0" borderId="0" xfId="38" applyFont="1" applyAlignment="1" applyProtection="1">
      <alignment vertical="center"/>
    </xf>
    <xf numFmtId="43" fontId="44" fillId="0" borderId="0" xfId="38" applyNumberFormat="1" applyFont="1" applyAlignment="1" applyProtection="1">
      <alignment vertical="center"/>
    </xf>
    <xf numFmtId="43" fontId="74" fillId="0" borderId="39" xfId="1" applyFont="1" applyBorder="1" applyAlignment="1" applyProtection="1"/>
    <xf numFmtId="49" fontId="24" fillId="0" borderId="0" xfId="0" applyNumberFormat="1" applyFont="1" applyBorder="1"/>
    <xf numFmtId="49" fontId="36" fillId="0" borderId="0" xfId="0" applyNumberFormat="1" applyFont="1" applyBorder="1"/>
    <xf numFmtId="0" fontId="36" fillId="0" borderId="0" xfId="0" applyFont="1" applyBorder="1"/>
    <xf numFmtId="49" fontId="70" fillId="0" borderId="0" xfId="0" applyNumberFormat="1" applyFont="1"/>
    <xf numFmtId="49" fontId="32" fillId="0" borderId="0" xfId="0" applyNumberFormat="1" applyFont="1" applyAlignment="1">
      <alignment vertical="top" wrapText="1"/>
    </xf>
    <xf numFmtId="49" fontId="32" fillId="0" borderId="0" xfId="0" applyNumberFormat="1" applyFont="1" applyAlignment="1"/>
    <xf numFmtId="49" fontId="70" fillId="0" borderId="0" xfId="0" applyNumberFormat="1" applyFont="1" applyBorder="1"/>
    <xf numFmtId="0" fontId="32" fillId="0" borderId="0" xfId="0" applyFont="1" applyBorder="1"/>
    <xf numFmtId="43" fontId="70" fillId="0" borderId="0" xfId="1" applyFont="1" applyBorder="1"/>
    <xf numFmtId="49" fontId="32" fillId="0" borderId="0" xfId="0" applyNumberFormat="1" applyFont="1" applyBorder="1" applyAlignment="1">
      <alignment horizontal="left" vertical="top" wrapText="1"/>
    </xf>
    <xf numFmtId="0" fontId="68" fillId="0" borderId="27" xfId="57" applyFont="1" applyBorder="1" applyAlignment="1">
      <alignment vertical="top"/>
    </xf>
    <xf numFmtId="49" fontId="68" fillId="0" borderId="27" xfId="57" applyNumberFormat="1" applyFont="1" applyBorder="1" applyAlignment="1">
      <alignment horizontal="center"/>
    </xf>
    <xf numFmtId="43" fontId="68" fillId="0" borderId="27" xfId="54" applyNumberFormat="1" applyFont="1" applyBorder="1"/>
    <xf numFmtId="0" fontId="68" fillId="0" borderId="35" xfId="57" applyFont="1" applyBorder="1" applyAlignment="1">
      <alignment vertical="top"/>
    </xf>
    <xf numFmtId="49" fontId="68" fillId="0" borderId="27" xfId="57" applyNumberFormat="1" applyFont="1" applyBorder="1" applyAlignment="1">
      <alignment vertical="top" shrinkToFit="1"/>
    </xf>
    <xf numFmtId="43" fontId="68" fillId="0" borderId="35" xfId="54" applyNumberFormat="1" applyFont="1" applyBorder="1"/>
    <xf numFmtId="49" fontId="68" fillId="0" borderId="27" xfId="57" applyNumberFormat="1" applyFont="1" applyBorder="1" applyAlignment="1">
      <alignment horizontal="center" vertical="top"/>
    </xf>
    <xf numFmtId="49" fontId="68" fillId="0" borderId="35" xfId="57" applyNumberFormat="1" applyFont="1" applyBorder="1" applyAlignment="1">
      <alignment horizontal="center" vertical="top"/>
    </xf>
    <xf numFmtId="0" fontId="68" fillId="0" borderId="27" xfId="57" applyFont="1" applyBorder="1" applyAlignment="1">
      <alignment horizontal="center" vertical="top"/>
    </xf>
    <xf numFmtId="0" fontId="68" fillId="0" borderId="0" xfId="57" applyFont="1" applyAlignment="1">
      <alignment horizontal="center" vertical="top"/>
    </xf>
    <xf numFmtId="0" fontId="68" fillId="0" borderId="46" xfId="57" applyFont="1" applyBorder="1" applyAlignment="1">
      <alignment vertical="top"/>
    </xf>
    <xf numFmtId="0" fontId="68" fillId="0" borderId="35" xfId="57" applyFont="1" applyBorder="1" applyAlignment="1">
      <alignment horizontal="center" vertical="top"/>
    </xf>
    <xf numFmtId="0" fontId="68" fillId="0" borderId="44" xfId="57" applyFont="1" applyBorder="1" applyAlignment="1">
      <alignment vertical="top"/>
    </xf>
    <xf numFmtId="0" fontId="68" fillId="0" borderId="28" xfId="57" applyFont="1" applyBorder="1" applyAlignment="1">
      <alignment horizontal="center" vertical="top"/>
    </xf>
    <xf numFmtId="0" fontId="68" fillId="0" borderId="25" xfId="57" applyFont="1" applyBorder="1" applyAlignment="1">
      <alignment vertical="top"/>
    </xf>
    <xf numFmtId="190" fontId="68" fillId="0" borderId="28" xfId="54" applyFont="1" applyBorder="1" applyAlignment="1">
      <alignment horizontal="center" vertical="top"/>
    </xf>
    <xf numFmtId="0" fontId="68" fillId="0" borderId="29" xfId="57" applyFont="1" applyBorder="1" applyAlignment="1">
      <alignment vertical="top"/>
    </xf>
    <xf numFmtId="0" fontId="68" fillId="0" borderId="41" xfId="57" applyFont="1" applyBorder="1" applyAlignment="1">
      <alignment horizontal="center" vertical="top"/>
    </xf>
    <xf numFmtId="190" fontId="68" fillId="0" borderId="0" xfId="55" applyNumberFormat="1" applyFont="1"/>
    <xf numFmtId="0" fontId="52" fillId="24" borderId="37" xfId="51" applyFont="1" applyFill="1" applyBorder="1" applyAlignment="1">
      <alignment horizontal="center"/>
    </xf>
    <xf numFmtId="43" fontId="52" fillId="24" borderId="37" xfId="52" applyFont="1" applyFill="1" applyBorder="1" applyAlignment="1">
      <alignment horizontal="center"/>
    </xf>
    <xf numFmtId="43" fontId="52" fillId="24" borderId="37" xfId="51" applyNumberFormat="1" applyFont="1" applyFill="1" applyBorder="1" applyAlignment="1">
      <alignment horizontal="center"/>
    </xf>
    <xf numFmtId="43" fontId="50" fillId="25" borderId="40" xfId="51" applyNumberFormat="1" applyFont="1" applyFill="1" applyBorder="1"/>
    <xf numFmtId="49" fontId="43" fillId="0" borderId="21" xfId="0" applyNumberFormat="1" applyFont="1" applyBorder="1" applyAlignment="1">
      <alignment horizontal="left" vertical="top" wrapText="1"/>
    </xf>
    <xf numFmtId="49" fontId="43" fillId="0" borderId="21" xfId="0" applyNumberFormat="1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43" fontId="43" fillId="0" borderId="21" xfId="1" applyNumberFormat="1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43" fontId="36" fillId="0" borderId="20" xfId="1" applyFont="1" applyBorder="1"/>
    <xf numFmtId="0" fontId="32" fillId="0" borderId="0" xfId="57" applyFont="1" applyAlignment="1">
      <alignment horizontal="center" vertical="top"/>
    </xf>
    <xf numFmtId="190" fontId="32" fillId="0" borderId="0" xfId="54" applyFont="1" applyAlignment="1">
      <alignment horizontal="center" vertical="top"/>
    </xf>
    <xf numFmtId="0" fontId="32" fillId="0" borderId="0" xfId="57" applyFont="1" applyBorder="1" applyAlignment="1">
      <alignment horizontal="center" vertical="top"/>
    </xf>
    <xf numFmtId="0" fontId="36" fillId="0" borderId="21" xfId="57" applyFont="1" applyBorder="1" applyAlignment="1">
      <alignment horizontal="center" vertical="top"/>
    </xf>
    <xf numFmtId="49" fontId="36" fillId="0" borderId="21" xfId="57" applyNumberFormat="1" applyFont="1" applyBorder="1" applyAlignment="1">
      <alignment horizontal="center" vertical="top"/>
    </xf>
    <xf numFmtId="0" fontId="36" fillId="0" borderId="16" xfId="57" applyFont="1" applyBorder="1" applyAlignment="1">
      <alignment horizontal="center" vertical="top"/>
    </xf>
    <xf numFmtId="0" fontId="32" fillId="0" borderId="0" xfId="57" applyFont="1" applyAlignment="1">
      <alignment vertical="top"/>
    </xf>
    <xf numFmtId="190" fontId="32" fillId="0" borderId="0" xfId="54" applyFont="1" applyAlignment="1">
      <alignment vertical="top"/>
    </xf>
    <xf numFmtId="0" fontId="32" fillId="0" borderId="0" xfId="57" applyFont="1" applyBorder="1" applyAlignment="1">
      <alignment vertical="top"/>
    </xf>
    <xf numFmtId="0" fontId="24" fillId="0" borderId="27" xfId="57" applyFont="1" applyBorder="1" applyAlignment="1">
      <alignment vertical="top"/>
    </xf>
    <xf numFmtId="49" fontId="24" fillId="0" borderId="27" xfId="57" applyNumberFormat="1" applyFont="1" applyBorder="1" applyAlignment="1">
      <alignment horizontal="center"/>
    </xf>
    <xf numFmtId="43" fontId="24" fillId="0" borderId="45" xfId="54" applyNumberFormat="1" applyFont="1" applyBorder="1"/>
    <xf numFmtId="43" fontId="24" fillId="0" borderId="27" xfId="54" applyNumberFormat="1" applyFont="1" applyBorder="1"/>
    <xf numFmtId="0" fontId="32" fillId="0" borderId="0" xfId="57" applyFont="1"/>
    <xf numFmtId="0" fontId="24" fillId="0" borderId="35" xfId="57" applyFont="1" applyBorder="1" applyAlignment="1">
      <alignment vertical="top"/>
    </xf>
    <xf numFmtId="43" fontId="32" fillId="0" borderId="0" xfId="57" applyNumberFormat="1" applyFont="1"/>
    <xf numFmtId="49" fontId="24" fillId="0" borderId="27" xfId="57" applyNumberFormat="1" applyFont="1" applyBorder="1" applyAlignment="1">
      <alignment vertical="top" shrinkToFit="1"/>
    </xf>
    <xf numFmtId="190" fontId="32" fillId="0" borderId="0" xfId="54" applyFont="1"/>
    <xf numFmtId="43" fontId="24" fillId="0" borderId="35" xfId="54" applyNumberFormat="1" applyFont="1" applyBorder="1"/>
    <xf numFmtId="49" fontId="24" fillId="0" borderId="27" xfId="57" applyNumberFormat="1" applyFont="1" applyBorder="1" applyAlignment="1">
      <alignment horizontal="center" vertical="top"/>
    </xf>
    <xf numFmtId="190" fontId="24" fillId="0" borderId="35" xfId="54" applyFont="1" applyBorder="1" applyAlignment="1">
      <alignment horizontal="center" vertical="top"/>
    </xf>
    <xf numFmtId="190" fontId="32" fillId="0" borderId="35" xfId="54" applyFont="1" applyBorder="1" applyAlignment="1">
      <alignment horizontal="center" vertical="top"/>
    </xf>
    <xf numFmtId="190" fontId="70" fillId="0" borderId="0" xfId="57" applyNumberFormat="1" applyFont="1" applyAlignment="1">
      <alignment horizontal="center" vertical="top"/>
    </xf>
    <xf numFmtId="43" fontId="32" fillId="0" borderId="0" xfId="57" applyNumberFormat="1" applyFont="1" applyAlignment="1">
      <alignment horizontal="center" vertical="top"/>
    </xf>
    <xf numFmtId="190" fontId="24" fillId="0" borderId="25" xfId="54" applyFont="1" applyBorder="1" applyAlignment="1">
      <alignment horizontal="center" vertical="top"/>
    </xf>
    <xf numFmtId="49" fontId="24" fillId="0" borderId="35" xfId="57" applyNumberFormat="1" applyFont="1" applyBorder="1" applyAlignment="1">
      <alignment horizontal="center" vertical="top"/>
    </xf>
    <xf numFmtId="0" fontId="24" fillId="0" borderId="27" xfId="57" applyFont="1" applyBorder="1" applyAlignment="1">
      <alignment horizontal="center" vertical="top"/>
    </xf>
    <xf numFmtId="0" fontId="24" fillId="0" borderId="0" xfId="57" applyFont="1" applyAlignment="1">
      <alignment horizontal="center" vertical="top"/>
    </xf>
    <xf numFmtId="190" fontId="70" fillId="0" borderId="0" xfId="54" applyFont="1" applyAlignment="1">
      <alignment horizontal="left" vertical="top"/>
    </xf>
    <xf numFmtId="190" fontId="24" fillId="0" borderId="27" xfId="54" applyFont="1" applyBorder="1" applyAlignment="1">
      <alignment horizontal="center" vertical="top"/>
    </xf>
    <xf numFmtId="0" fontId="32" fillId="0" borderId="0" xfId="57" applyFont="1" applyAlignment="1">
      <alignment horizontal="right" vertical="top"/>
    </xf>
    <xf numFmtId="190" fontId="32" fillId="0" borderId="0" xfId="57" applyNumberFormat="1" applyFont="1" applyAlignment="1">
      <alignment horizontal="center" vertical="top"/>
    </xf>
    <xf numFmtId="190" fontId="70" fillId="0" borderId="0" xfId="54" applyFont="1" applyAlignment="1">
      <alignment horizontal="center" vertical="top"/>
    </xf>
    <xf numFmtId="0" fontId="70" fillId="0" borderId="0" xfId="57" applyFont="1" applyAlignment="1">
      <alignment horizontal="left" vertical="top"/>
    </xf>
    <xf numFmtId="0" fontId="24" fillId="0" borderId="46" xfId="57" applyFont="1" applyBorder="1" applyAlignment="1">
      <alignment vertical="top"/>
    </xf>
    <xf numFmtId="0" fontId="24" fillId="0" borderId="35" xfId="57" applyFont="1" applyBorder="1" applyAlignment="1">
      <alignment horizontal="center" vertical="top"/>
    </xf>
    <xf numFmtId="0" fontId="24" fillId="0" borderId="44" xfId="57" applyFont="1" applyBorder="1" applyAlignment="1">
      <alignment vertical="top"/>
    </xf>
    <xf numFmtId="0" fontId="24" fillId="0" borderId="28" xfId="57" applyFont="1" applyBorder="1" applyAlignment="1">
      <alignment horizontal="center" vertical="top"/>
    </xf>
    <xf numFmtId="0" fontId="24" fillId="0" borderId="25" xfId="57" applyFont="1" applyBorder="1" applyAlignment="1">
      <alignment vertical="top"/>
    </xf>
    <xf numFmtId="190" fontId="24" fillId="0" borderId="28" xfId="54" applyFont="1" applyBorder="1" applyAlignment="1">
      <alignment horizontal="center" vertical="top"/>
    </xf>
    <xf numFmtId="0" fontId="24" fillId="0" borderId="29" xfId="57" applyFont="1" applyBorder="1" applyAlignment="1">
      <alignment vertical="top"/>
    </xf>
    <xf numFmtId="0" fontId="24" fillId="0" borderId="41" xfId="57" applyFont="1" applyBorder="1" applyAlignment="1">
      <alignment horizontal="center" vertical="top"/>
    </xf>
    <xf numFmtId="190" fontId="24" fillId="0" borderId="41" xfId="54" applyFont="1" applyBorder="1" applyAlignment="1">
      <alignment horizontal="center" vertical="top"/>
    </xf>
    <xf numFmtId="0" fontId="24" fillId="0" borderId="33" xfId="57" applyFont="1" applyBorder="1" applyAlignment="1">
      <alignment horizontal="center" vertical="top"/>
    </xf>
    <xf numFmtId="190" fontId="24" fillId="0" borderId="47" xfId="54" applyFont="1" applyBorder="1" applyAlignment="1">
      <alignment horizontal="center" vertical="top"/>
    </xf>
    <xf numFmtId="190" fontId="24" fillId="0" borderId="40" xfId="54" applyFont="1" applyBorder="1" applyAlignment="1">
      <alignment horizontal="center" vertical="top"/>
    </xf>
    <xf numFmtId="0" fontId="24" fillId="0" borderId="0" xfId="57" applyFont="1" applyBorder="1" applyAlignment="1">
      <alignment horizontal="center" vertical="top"/>
    </xf>
    <xf numFmtId="190" fontId="24" fillId="0" borderId="0" xfId="54" applyFont="1" applyBorder="1" applyAlignment="1">
      <alignment horizontal="center" vertical="top"/>
    </xf>
    <xf numFmtId="0" fontId="24" fillId="0" borderId="0" xfId="57" applyFont="1"/>
    <xf numFmtId="43" fontId="24" fillId="0" borderId="0" xfId="57" applyNumberFormat="1" applyFont="1"/>
    <xf numFmtId="0" fontId="24" fillId="0" borderId="0" xfId="57" applyFont="1" applyAlignment="1">
      <alignment horizontal="center"/>
    </xf>
    <xf numFmtId="43" fontId="32" fillId="0" borderId="0" xfId="54" applyNumberFormat="1" applyFont="1"/>
    <xf numFmtId="190" fontId="32" fillId="0" borderId="0" xfId="54" applyFont="1" applyAlignment="1">
      <alignment horizontal="left" vertical="top"/>
    </xf>
    <xf numFmtId="0" fontId="32" fillId="0" borderId="0" xfId="57" applyFont="1" applyAlignment="1">
      <alignment horizontal="left" vertical="top"/>
    </xf>
    <xf numFmtId="190" fontId="32" fillId="0" borderId="0" xfId="57" applyNumberFormat="1" applyFont="1" applyAlignment="1">
      <alignment vertical="top"/>
    </xf>
    <xf numFmtId="0" fontId="32" fillId="0" borderId="0" xfId="53" applyFont="1" applyAlignment="1">
      <alignment horizontal="center" vertical="top"/>
    </xf>
    <xf numFmtId="0" fontId="32" fillId="0" borderId="0" xfId="53" applyFont="1" applyBorder="1" applyAlignment="1">
      <alignment horizontal="center" vertical="top"/>
    </xf>
    <xf numFmtId="0" fontId="36" fillId="0" borderId="21" xfId="53" applyFont="1" applyBorder="1" applyAlignment="1">
      <alignment horizontal="center" vertical="top"/>
    </xf>
    <xf numFmtId="49" fontId="36" fillId="0" borderId="21" xfId="53" applyNumberFormat="1" applyFont="1" applyBorder="1" applyAlignment="1">
      <alignment horizontal="center" vertical="top"/>
    </xf>
    <xf numFmtId="0" fontId="36" fillId="0" borderId="16" xfId="53" applyFont="1" applyBorder="1" applyAlignment="1">
      <alignment horizontal="center" vertical="top"/>
    </xf>
    <xf numFmtId="0" fontId="32" fillId="0" borderId="0" xfId="53" applyFont="1" applyAlignment="1">
      <alignment vertical="top"/>
    </xf>
    <xf numFmtId="0" fontId="32" fillId="0" borderId="0" xfId="53" applyFont="1" applyBorder="1" applyAlignment="1">
      <alignment vertical="top"/>
    </xf>
    <xf numFmtId="0" fontId="24" fillId="0" borderId="41" xfId="57" applyFont="1" applyBorder="1" applyAlignment="1">
      <alignment vertical="top"/>
    </xf>
    <xf numFmtId="49" fontId="24" fillId="0" borderId="41" xfId="57" applyNumberFormat="1" applyFont="1" applyBorder="1" applyAlignment="1">
      <alignment horizontal="center" vertical="top"/>
    </xf>
    <xf numFmtId="190" fontId="24" fillId="0" borderId="29" xfId="54" applyFont="1" applyBorder="1" applyAlignment="1">
      <alignment horizontal="center" vertical="top"/>
    </xf>
    <xf numFmtId="0" fontId="24" fillId="0" borderId="0" xfId="53" applyFont="1" applyAlignment="1">
      <alignment horizontal="center" vertical="top"/>
    </xf>
    <xf numFmtId="0" fontId="24" fillId="0" borderId="33" xfId="53" applyFont="1" applyBorder="1" applyAlignment="1">
      <alignment horizontal="center" vertical="top"/>
    </xf>
    <xf numFmtId="190" fontId="32" fillId="0" borderId="0" xfId="53" applyNumberFormat="1" applyFont="1" applyAlignment="1">
      <alignment horizontal="center" vertical="top"/>
    </xf>
    <xf numFmtId="0" fontId="24" fillId="0" borderId="0" xfId="53" applyFont="1" applyBorder="1" applyAlignment="1">
      <alignment horizontal="center" vertical="top"/>
    </xf>
    <xf numFmtId="0" fontId="24" fillId="0" borderId="0" xfId="53" applyFont="1"/>
    <xf numFmtId="43" fontId="24" fillId="0" borderId="0" xfId="53" applyNumberFormat="1" applyFont="1"/>
    <xf numFmtId="0" fontId="32" fillId="0" borderId="0" xfId="53" applyFont="1"/>
    <xf numFmtId="43" fontId="32" fillId="0" borderId="0" xfId="53" applyNumberFormat="1" applyFont="1"/>
    <xf numFmtId="0" fontId="24" fillId="0" borderId="0" xfId="53" applyFont="1" applyAlignment="1">
      <alignment horizontal="center"/>
    </xf>
    <xf numFmtId="190" fontId="32" fillId="0" borderId="0" xfId="53" applyNumberFormat="1" applyFont="1"/>
    <xf numFmtId="43" fontId="32" fillId="0" borderId="0" xfId="53" applyNumberFormat="1" applyFont="1" applyAlignment="1">
      <alignment horizontal="center" vertical="top"/>
    </xf>
    <xf numFmtId="0" fontId="32" fillId="0" borderId="0" xfId="53" applyFont="1" applyAlignment="1">
      <alignment horizontal="left" vertical="top"/>
    </xf>
    <xf numFmtId="190" fontId="32" fillId="0" borderId="0" xfId="53" applyNumberFormat="1" applyFont="1" applyAlignment="1">
      <alignment vertical="top"/>
    </xf>
    <xf numFmtId="43" fontId="61" fillId="0" borderId="27" xfId="1" applyFont="1" applyBorder="1" applyAlignment="1">
      <alignment horizontal="left"/>
    </xf>
    <xf numFmtId="43" fontId="24" fillId="0" borderId="41" xfId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/>
    <xf numFmtId="0" fontId="26" fillId="0" borderId="18" xfId="0" applyFont="1" applyBorder="1" applyAlignment="1"/>
    <xf numFmtId="0" fontId="26" fillId="0" borderId="19" xfId="0" applyFont="1" applyBorder="1" applyAlignment="1"/>
    <xf numFmtId="43" fontId="26" fillId="0" borderId="15" xfId="1" applyFont="1" applyBorder="1" applyAlignment="1">
      <alignment horizontal="center" vertical="center" wrapText="1"/>
    </xf>
    <xf numFmtId="43" fontId="26" fillId="0" borderId="20" xfId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7" fillId="0" borderId="0" xfId="51" applyFont="1" applyBorder="1" applyAlignment="1">
      <alignment horizontal="center" vertical="center"/>
    </xf>
    <xf numFmtId="0" fontId="37" fillId="0" borderId="0" xfId="49" applyFont="1" applyBorder="1" applyAlignment="1">
      <alignment horizontal="center"/>
    </xf>
    <xf numFmtId="0" fontId="38" fillId="0" borderId="21" xfId="51" applyFont="1" applyBorder="1" applyAlignment="1">
      <alignment horizontal="center" vertical="center"/>
    </xf>
    <xf numFmtId="0" fontId="38" fillId="0" borderId="15" xfId="51" applyFont="1" applyBorder="1" applyAlignment="1">
      <alignment horizontal="center" vertical="center" shrinkToFit="1"/>
    </xf>
    <xf numFmtId="0" fontId="26" fillId="0" borderId="20" xfId="0" applyFont="1" applyBorder="1" applyAlignment="1">
      <alignment vertical="center" shrinkToFit="1"/>
    </xf>
    <xf numFmtId="0" fontId="38" fillId="0" borderId="21" xfId="51" applyFont="1" applyFill="1" applyBorder="1" applyAlignment="1">
      <alignment horizontal="center" vertical="center" wrapText="1"/>
    </xf>
    <xf numFmtId="0" fontId="38" fillId="0" borderId="20" xfId="51" applyFont="1" applyBorder="1" applyAlignment="1">
      <alignment horizontal="center" vertical="center" shrinkToFit="1"/>
    </xf>
    <xf numFmtId="43" fontId="38" fillId="0" borderId="21" xfId="52" applyFont="1" applyBorder="1" applyAlignment="1">
      <alignment horizontal="center" vertical="center"/>
    </xf>
    <xf numFmtId="0" fontId="38" fillId="0" borderId="16" xfId="51" applyFont="1" applyBorder="1" applyAlignment="1">
      <alignment horizontal="center" vertical="center" wrapText="1" shrinkToFit="1"/>
    </xf>
    <xf numFmtId="0" fontId="38" fillId="0" borderId="31" xfId="51" applyFont="1" applyBorder="1" applyAlignment="1">
      <alignment horizontal="center" vertical="center" wrapText="1" shrinkToFit="1"/>
    </xf>
    <xf numFmtId="0" fontId="38" fillId="0" borderId="17" xfId="51" applyFont="1" applyBorder="1" applyAlignment="1">
      <alignment horizontal="center" vertical="center" wrapText="1" shrinkToFit="1"/>
    </xf>
    <xf numFmtId="0" fontId="41" fillId="0" borderId="16" xfId="51" applyFont="1" applyFill="1" applyBorder="1" applyAlignment="1">
      <alignment horizontal="center" vertical="center"/>
    </xf>
    <xf numFmtId="0" fontId="41" fillId="0" borderId="17" xfId="5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43" fontId="36" fillId="0" borderId="0" xfId="1" applyFont="1" applyAlignment="1">
      <alignment horizontal="center"/>
    </xf>
    <xf numFmtId="43" fontId="24" fillId="0" borderId="21" xfId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/>
    </xf>
    <xf numFmtId="49" fontId="36" fillId="0" borderId="31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 vertical="center" wrapText="1" shrinkToFit="1"/>
    </xf>
    <xf numFmtId="49" fontId="24" fillId="0" borderId="20" xfId="0" applyNumberFormat="1" applyFont="1" applyBorder="1" applyAlignment="1">
      <alignment horizontal="center" vertical="center" wrapText="1" shrinkToFi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/>
    </xf>
    <xf numFmtId="0" fontId="48" fillId="0" borderId="0" xfId="38" applyFont="1" applyAlignment="1" applyProtection="1">
      <alignment horizontal="center" vertical="center"/>
    </xf>
    <xf numFmtId="0" fontId="43" fillId="0" borderId="21" xfId="38" applyFont="1" applyBorder="1" applyAlignment="1" applyProtection="1">
      <alignment horizontal="center" vertical="center" wrapText="1"/>
    </xf>
    <xf numFmtId="0" fontId="45" fillId="0" borderId="42" xfId="38" applyFont="1" applyBorder="1" applyAlignment="1" applyProtection="1">
      <alignment horizontal="center" vertical="center"/>
    </xf>
    <xf numFmtId="0" fontId="45" fillId="0" borderId="3" xfId="38" applyFont="1" applyBorder="1" applyAlignment="1" applyProtection="1">
      <alignment horizontal="center" vertical="center"/>
    </xf>
    <xf numFmtId="0" fontId="45" fillId="0" borderId="43" xfId="38" applyFont="1" applyBorder="1" applyAlignment="1" applyProtection="1">
      <alignment horizontal="center" vertical="center"/>
    </xf>
    <xf numFmtId="0" fontId="48" fillId="0" borderId="2" xfId="38" applyFont="1" applyBorder="1" applyAlignment="1" applyProtection="1">
      <alignment horizontal="center" vertical="center"/>
    </xf>
    <xf numFmtId="0" fontId="48" fillId="0" borderId="0" xfId="38" applyFont="1" applyBorder="1" applyAlignment="1" applyProtection="1">
      <alignment horizontal="center" vertical="center"/>
    </xf>
    <xf numFmtId="0" fontId="29" fillId="0" borderId="0" xfId="0" applyFont="1" applyAlignment="1"/>
    <xf numFmtId="49" fontId="24" fillId="0" borderId="0" xfId="0" applyNumberFormat="1" applyFont="1" applyAlignment="1">
      <alignment horizontal="left" vertical="top" wrapText="1"/>
    </xf>
    <xf numFmtId="49" fontId="32" fillId="0" borderId="0" xfId="0" applyNumberFormat="1" applyFont="1" applyBorder="1" applyAlignment="1">
      <alignment horizontal="left" vertical="top" wrapText="1"/>
    </xf>
    <xf numFmtId="49" fontId="36" fillId="0" borderId="0" xfId="0" applyNumberFormat="1" applyFont="1" applyAlignment="1">
      <alignment horizontal="center" vertical="top" wrapText="1"/>
    </xf>
    <xf numFmtId="49" fontId="36" fillId="0" borderId="0" xfId="0" applyNumberFormat="1" applyFont="1" applyAlignment="1">
      <alignment horizontal="left" vertical="top" wrapText="1"/>
    </xf>
    <xf numFmtId="0" fontId="36" fillId="0" borderId="0" xfId="57" applyFont="1" applyAlignment="1">
      <alignment horizontal="center" vertical="top"/>
    </xf>
    <xf numFmtId="0" fontId="36" fillId="0" borderId="0" xfId="53" applyFont="1" applyAlignment="1">
      <alignment horizontal="center" vertical="top"/>
    </xf>
    <xf numFmtId="0" fontId="36" fillId="0" borderId="2" xfId="57" applyFont="1" applyBorder="1" applyAlignment="1">
      <alignment horizontal="center" vertical="top"/>
    </xf>
    <xf numFmtId="0" fontId="36" fillId="0" borderId="2" xfId="53" applyFont="1" applyBorder="1" applyAlignment="1">
      <alignment horizontal="center" vertical="top"/>
    </xf>
    <xf numFmtId="0" fontId="67" fillId="0" borderId="0" xfId="55" applyFont="1" applyAlignment="1">
      <alignment horizontal="center" vertical="center"/>
    </xf>
    <xf numFmtId="0" fontId="67" fillId="0" borderId="2" xfId="55" applyFont="1" applyBorder="1" applyAlignment="1">
      <alignment horizontal="center" vertical="center"/>
    </xf>
    <xf numFmtId="0" fontId="67" fillId="0" borderId="48" xfId="55" applyFont="1" applyBorder="1" applyAlignment="1">
      <alignment horizontal="center" vertical="center"/>
    </xf>
    <xf numFmtId="49" fontId="67" fillId="0" borderId="15" xfId="55" applyNumberFormat="1" applyFont="1" applyBorder="1" applyAlignment="1">
      <alignment horizontal="center" vertical="center"/>
    </xf>
    <xf numFmtId="49" fontId="67" fillId="0" borderId="20" xfId="55" applyNumberFormat="1" applyFont="1" applyBorder="1" applyAlignment="1">
      <alignment horizontal="center" vertical="center"/>
    </xf>
    <xf numFmtId="0" fontId="67" fillId="0" borderId="31" xfId="55" applyFont="1" applyBorder="1" applyAlignment="1">
      <alignment horizontal="center" vertical="center"/>
    </xf>
    <xf numFmtId="43" fontId="67" fillId="0" borderId="16" xfId="56" applyFont="1" applyBorder="1" applyAlignment="1">
      <alignment horizontal="center" vertical="center"/>
    </xf>
    <xf numFmtId="43" fontId="67" fillId="0" borderId="17" xfId="56" applyFont="1" applyBorder="1" applyAlignment="1">
      <alignment horizontal="center" vertical="center"/>
    </xf>
    <xf numFmtId="0" fontId="68" fillId="0" borderId="0" xfId="55" applyFont="1" applyBorder="1" applyAlignment="1">
      <alignment horizontal="left"/>
    </xf>
    <xf numFmtId="0" fontId="67" fillId="0" borderId="0" xfId="55" applyFont="1" applyBorder="1" applyAlignment="1">
      <alignment horizontal="center" vertical="center"/>
    </xf>
    <xf numFmtId="0" fontId="68" fillId="0" borderId="0" xfId="55" applyFont="1" applyBorder="1" applyAlignment="1">
      <alignment horizontal="center" vertical="center"/>
    </xf>
  </cellXfs>
  <cellStyles count="5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54"/>
    <cellStyle name="Comma 3" xfId="56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53"/>
    <cellStyle name="Normal 3" xfId="55"/>
    <cellStyle name="Normal 4" xfId="57"/>
    <cellStyle name="Normal_งบรวม 2551" xfId="38"/>
    <cellStyle name="Note" xfId="39"/>
    <cellStyle name="Output" xfId="40"/>
    <cellStyle name="Title" xfId="41"/>
    <cellStyle name="Total" xfId="42"/>
    <cellStyle name="Warning Text" xfId="43"/>
    <cellStyle name="เครื่องหมายจุลภาค 2" xfId="44"/>
    <cellStyle name="เครื่องหมายจุลภาค 3" xfId="45"/>
    <cellStyle name="เครื่องหมายจุลภาค 4" xfId="50"/>
    <cellStyle name="เครื่องหมายจุลภาค 4 2" xfId="52"/>
    <cellStyle name="ปกติ 2" xfId="46"/>
    <cellStyle name="ปกติ 3" xfId="47"/>
    <cellStyle name="ปกติ 4" xfId="49"/>
    <cellStyle name="ปกติ 4 2" xfId="51"/>
    <cellStyle name="ปกติ_ยำ" xfId="4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180975</xdr:rowOff>
    </xdr:from>
    <xdr:to>
      <xdr:col>4</xdr:col>
      <xdr:colOff>1219200</xdr:colOff>
      <xdr:row>34</xdr:row>
      <xdr:rowOff>146728</xdr:rowOff>
    </xdr:to>
    <xdr:grpSp>
      <xdr:nvGrpSpPr>
        <xdr:cNvPr id="2" name="กลุ่ม 4"/>
        <xdr:cNvGrpSpPr>
          <a:grpSpLocks/>
        </xdr:cNvGrpSpPr>
      </xdr:nvGrpSpPr>
      <xdr:grpSpPr bwMode="auto">
        <a:xfrm>
          <a:off x="190500" y="7867650"/>
          <a:ext cx="6115050" cy="1251628"/>
          <a:chOff x="228600" y="7781922"/>
          <a:chExt cx="5343526" cy="131484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0</xdr:col>
      <xdr:colOff>171450</xdr:colOff>
      <xdr:row>68</xdr:row>
      <xdr:rowOff>19050</xdr:rowOff>
    </xdr:from>
    <xdr:to>
      <xdr:col>4</xdr:col>
      <xdr:colOff>1200150</xdr:colOff>
      <xdr:row>73</xdr:row>
      <xdr:rowOff>41953</xdr:rowOff>
    </xdr:to>
    <xdr:grpSp>
      <xdr:nvGrpSpPr>
        <xdr:cNvPr id="6" name="กลุ่ม 4"/>
        <xdr:cNvGrpSpPr>
          <a:grpSpLocks/>
        </xdr:cNvGrpSpPr>
      </xdr:nvGrpSpPr>
      <xdr:grpSpPr bwMode="auto">
        <a:xfrm>
          <a:off x="171450" y="17964150"/>
          <a:ext cx="6115050" cy="1251628"/>
          <a:chOff x="228600" y="7781922"/>
          <a:chExt cx="5343526" cy="1314846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11640</xdr:colOff>
      <xdr:row>30</xdr:row>
      <xdr:rowOff>31739</xdr:rowOff>
    </xdr:from>
    <xdr:to>
      <xdr:col>16</xdr:col>
      <xdr:colOff>380999</xdr:colOff>
      <xdr:row>35</xdr:row>
      <xdr:rowOff>21158</xdr:rowOff>
    </xdr:to>
    <xdr:grpSp>
      <xdr:nvGrpSpPr>
        <xdr:cNvPr id="2" name="กลุ่ม 1"/>
        <xdr:cNvGrpSpPr/>
      </xdr:nvGrpSpPr>
      <xdr:grpSpPr>
        <a:xfrm>
          <a:off x="159807" y="8466656"/>
          <a:ext cx="17175692" cy="1259419"/>
          <a:chOff x="1190625" y="5191125"/>
          <a:chExt cx="12163425" cy="1103971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90625" y="5191125"/>
            <a:ext cx="1943082" cy="8764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11106150" y="5191125"/>
            <a:ext cx="2247900" cy="11039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6019800" y="5191126"/>
            <a:ext cx="1965913" cy="882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75</xdr:row>
      <xdr:rowOff>0</xdr:rowOff>
    </xdr:from>
    <xdr:to>
      <xdr:col>7</xdr:col>
      <xdr:colOff>19050</xdr:colOff>
      <xdr:row>80</xdr:row>
      <xdr:rowOff>0</xdr:rowOff>
    </xdr:to>
    <xdr:grpSp>
      <xdr:nvGrpSpPr>
        <xdr:cNvPr id="2" name="กลุ่ม 1"/>
        <xdr:cNvGrpSpPr/>
      </xdr:nvGrpSpPr>
      <xdr:grpSpPr>
        <a:xfrm>
          <a:off x="114300" y="18973800"/>
          <a:ext cx="7419975" cy="1190625"/>
          <a:chOff x="114300" y="17545050"/>
          <a:chExt cx="7219950" cy="1280200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1057275</xdr:colOff>
      <xdr:row>24</xdr:row>
      <xdr:rowOff>0</xdr:rowOff>
    </xdr:from>
    <xdr:to>
      <xdr:col>13</xdr:col>
      <xdr:colOff>438150</xdr:colOff>
      <xdr:row>29</xdr:row>
      <xdr:rowOff>66675</xdr:rowOff>
    </xdr:to>
    <xdr:grpSp>
      <xdr:nvGrpSpPr>
        <xdr:cNvPr id="6" name="กลุ่ม 5"/>
        <xdr:cNvGrpSpPr/>
      </xdr:nvGrpSpPr>
      <xdr:grpSpPr>
        <a:xfrm>
          <a:off x="1838325" y="6343650"/>
          <a:ext cx="11696700" cy="1257300"/>
          <a:chOff x="1190625" y="5191125"/>
          <a:chExt cx="12163425" cy="1257300"/>
        </a:xfrm>
      </xdr:grpSpPr>
      <xdr:sp macro="" textlink="">
        <xdr:nvSpPr>
          <xdr:cNvPr id="7" name="TextBox 6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8" name="TextBox 7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115</xdr:row>
      <xdr:rowOff>0</xdr:rowOff>
    </xdr:from>
    <xdr:to>
      <xdr:col>7</xdr:col>
      <xdr:colOff>38100</xdr:colOff>
      <xdr:row>120</xdr:row>
      <xdr:rowOff>89575</xdr:rowOff>
    </xdr:to>
    <xdr:grpSp>
      <xdr:nvGrpSpPr>
        <xdr:cNvPr id="10" name="กลุ่ม 9"/>
        <xdr:cNvGrpSpPr/>
      </xdr:nvGrpSpPr>
      <xdr:grpSpPr>
        <a:xfrm>
          <a:off x="781050" y="28927425"/>
          <a:ext cx="6772275" cy="1280200"/>
          <a:chOff x="114300" y="17545050"/>
          <a:chExt cx="7219950" cy="1280200"/>
        </a:xfrm>
      </xdr:grpSpPr>
      <xdr:sp macro="" textlink="">
        <xdr:nvSpPr>
          <xdr:cNvPr id="11" name="TextBox 10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156</xdr:row>
      <xdr:rowOff>0</xdr:rowOff>
    </xdr:from>
    <xdr:to>
      <xdr:col>7</xdr:col>
      <xdr:colOff>38100</xdr:colOff>
      <xdr:row>161</xdr:row>
      <xdr:rowOff>89575</xdr:rowOff>
    </xdr:to>
    <xdr:grpSp>
      <xdr:nvGrpSpPr>
        <xdr:cNvPr id="14" name="กลุ่ม 13"/>
        <xdr:cNvGrpSpPr/>
      </xdr:nvGrpSpPr>
      <xdr:grpSpPr>
        <a:xfrm>
          <a:off x="781050" y="39119175"/>
          <a:ext cx="6772275" cy="1280200"/>
          <a:chOff x="114300" y="17545050"/>
          <a:chExt cx="7219950" cy="1280200"/>
        </a:xfrm>
      </xdr:grpSpPr>
      <xdr:sp macro="" textlink="">
        <xdr:nvSpPr>
          <xdr:cNvPr id="15" name="TextBox 14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197</xdr:row>
      <xdr:rowOff>0</xdr:rowOff>
    </xdr:from>
    <xdr:to>
      <xdr:col>7</xdr:col>
      <xdr:colOff>38100</xdr:colOff>
      <xdr:row>202</xdr:row>
      <xdr:rowOff>0</xdr:rowOff>
    </xdr:to>
    <xdr:grpSp>
      <xdr:nvGrpSpPr>
        <xdr:cNvPr id="18" name="กลุ่ม 17"/>
        <xdr:cNvGrpSpPr/>
      </xdr:nvGrpSpPr>
      <xdr:grpSpPr>
        <a:xfrm>
          <a:off x="781050" y="49549050"/>
          <a:ext cx="6772275" cy="1190625"/>
          <a:chOff x="114300" y="17545050"/>
          <a:chExt cx="7219950" cy="1280200"/>
        </a:xfrm>
      </xdr:grpSpPr>
      <xdr:sp macro="" textlink="">
        <xdr:nvSpPr>
          <xdr:cNvPr id="19" name="TextBox 18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1" name="TextBox 20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237</xdr:row>
      <xdr:rowOff>0</xdr:rowOff>
    </xdr:from>
    <xdr:to>
      <xdr:col>7</xdr:col>
      <xdr:colOff>38100</xdr:colOff>
      <xdr:row>242</xdr:row>
      <xdr:rowOff>89575</xdr:rowOff>
    </xdr:to>
    <xdr:grpSp>
      <xdr:nvGrpSpPr>
        <xdr:cNvPr id="22" name="กลุ่ม 21"/>
        <xdr:cNvGrpSpPr/>
      </xdr:nvGrpSpPr>
      <xdr:grpSpPr>
        <a:xfrm>
          <a:off x="781050" y="59502675"/>
          <a:ext cx="6772275" cy="1280200"/>
          <a:chOff x="114300" y="17545050"/>
          <a:chExt cx="7219950" cy="1280200"/>
        </a:xfrm>
      </xdr:grpSpPr>
      <xdr:sp macro="" textlink="">
        <xdr:nvSpPr>
          <xdr:cNvPr id="23" name="TextBox 22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4" name="TextBox 23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5" name="TextBox 24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278</xdr:row>
      <xdr:rowOff>0</xdr:rowOff>
    </xdr:from>
    <xdr:to>
      <xdr:col>7</xdr:col>
      <xdr:colOff>38100</xdr:colOff>
      <xdr:row>283</xdr:row>
      <xdr:rowOff>89575</xdr:rowOff>
    </xdr:to>
    <xdr:grpSp>
      <xdr:nvGrpSpPr>
        <xdr:cNvPr id="26" name="กลุ่ม 25"/>
        <xdr:cNvGrpSpPr/>
      </xdr:nvGrpSpPr>
      <xdr:grpSpPr>
        <a:xfrm>
          <a:off x="781050" y="69694425"/>
          <a:ext cx="6772275" cy="1280200"/>
          <a:chOff x="114300" y="17545050"/>
          <a:chExt cx="7219950" cy="1280200"/>
        </a:xfrm>
      </xdr:grpSpPr>
      <xdr:sp macro="" textlink="">
        <xdr:nvSpPr>
          <xdr:cNvPr id="27" name="TextBox 26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8" name="TextBox 27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9" name="TextBox 28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320</xdr:row>
      <xdr:rowOff>0</xdr:rowOff>
    </xdr:from>
    <xdr:to>
      <xdr:col>7</xdr:col>
      <xdr:colOff>38100</xdr:colOff>
      <xdr:row>325</xdr:row>
      <xdr:rowOff>89575</xdr:rowOff>
    </xdr:to>
    <xdr:grpSp>
      <xdr:nvGrpSpPr>
        <xdr:cNvPr id="30" name="กลุ่ม 29"/>
        <xdr:cNvGrpSpPr/>
      </xdr:nvGrpSpPr>
      <xdr:grpSpPr>
        <a:xfrm>
          <a:off x="781050" y="80124300"/>
          <a:ext cx="6772275" cy="1280200"/>
          <a:chOff x="114300" y="17545050"/>
          <a:chExt cx="7219950" cy="1280200"/>
        </a:xfrm>
      </xdr:grpSpPr>
      <xdr:sp macro="" textlink="">
        <xdr:nvSpPr>
          <xdr:cNvPr id="31" name="TextBox 30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2" name="TextBox 31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3" name="TextBox 32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361</xdr:row>
      <xdr:rowOff>0</xdr:rowOff>
    </xdr:from>
    <xdr:to>
      <xdr:col>7</xdr:col>
      <xdr:colOff>38100</xdr:colOff>
      <xdr:row>366</xdr:row>
      <xdr:rowOff>89575</xdr:rowOff>
    </xdr:to>
    <xdr:grpSp>
      <xdr:nvGrpSpPr>
        <xdr:cNvPr id="34" name="กลุ่ม 33"/>
        <xdr:cNvGrpSpPr/>
      </xdr:nvGrpSpPr>
      <xdr:grpSpPr>
        <a:xfrm>
          <a:off x="781050" y="90316050"/>
          <a:ext cx="6772275" cy="1280200"/>
          <a:chOff x="114300" y="17545050"/>
          <a:chExt cx="7219950" cy="1280200"/>
        </a:xfrm>
      </xdr:grpSpPr>
      <xdr:sp macro="" textlink="">
        <xdr:nvSpPr>
          <xdr:cNvPr id="35" name="TextBox 34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6" name="TextBox 35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7" name="TextBox 36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401</xdr:row>
      <xdr:rowOff>0</xdr:rowOff>
    </xdr:from>
    <xdr:to>
      <xdr:col>7</xdr:col>
      <xdr:colOff>38100</xdr:colOff>
      <xdr:row>405</xdr:row>
      <xdr:rowOff>257175</xdr:rowOff>
    </xdr:to>
    <xdr:grpSp>
      <xdr:nvGrpSpPr>
        <xdr:cNvPr id="38" name="กลุ่ม 37"/>
        <xdr:cNvGrpSpPr/>
      </xdr:nvGrpSpPr>
      <xdr:grpSpPr>
        <a:xfrm>
          <a:off x="781050" y="100364925"/>
          <a:ext cx="6772275" cy="1190625"/>
          <a:chOff x="114300" y="17545050"/>
          <a:chExt cx="7219950" cy="1280200"/>
        </a:xfrm>
      </xdr:grpSpPr>
      <xdr:sp macro="" textlink="">
        <xdr:nvSpPr>
          <xdr:cNvPr id="39" name="TextBox 38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0" name="TextBox 39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1" name="TextBox 40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482</xdr:row>
      <xdr:rowOff>0</xdr:rowOff>
    </xdr:from>
    <xdr:to>
      <xdr:col>7</xdr:col>
      <xdr:colOff>38100</xdr:colOff>
      <xdr:row>487</xdr:row>
      <xdr:rowOff>89575</xdr:rowOff>
    </xdr:to>
    <xdr:grpSp>
      <xdr:nvGrpSpPr>
        <xdr:cNvPr id="42" name="กลุ่ม 41"/>
        <xdr:cNvGrpSpPr/>
      </xdr:nvGrpSpPr>
      <xdr:grpSpPr>
        <a:xfrm>
          <a:off x="781050" y="120510300"/>
          <a:ext cx="6772275" cy="1280200"/>
          <a:chOff x="114300" y="17545050"/>
          <a:chExt cx="7219950" cy="1280200"/>
        </a:xfrm>
      </xdr:grpSpPr>
      <xdr:sp macro="" textlink="">
        <xdr:nvSpPr>
          <xdr:cNvPr id="43" name="TextBox 42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4" name="TextBox 43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5" name="TextBox 44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441</xdr:row>
      <xdr:rowOff>0</xdr:rowOff>
    </xdr:from>
    <xdr:to>
      <xdr:col>7</xdr:col>
      <xdr:colOff>38100</xdr:colOff>
      <xdr:row>446</xdr:row>
      <xdr:rowOff>0</xdr:rowOff>
    </xdr:to>
    <xdr:grpSp>
      <xdr:nvGrpSpPr>
        <xdr:cNvPr id="46" name="กลุ่ม 45"/>
        <xdr:cNvGrpSpPr/>
      </xdr:nvGrpSpPr>
      <xdr:grpSpPr>
        <a:xfrm>
          <a:off x="781050" y="110556675"/>
          <a:ext cx="6772275" cy="1190625"/>
          <a:chOff x="114300" y="17545050"/>
          <a:chExt cx="7219950" cy="1280200"/>
        </a:xfrm>
      </xdr:grpSpPr>
      <xdr:sp macro="" textlink="">
        <xdr:nvSpPr>
          <xdr:cNvPr id="47" name="TextBox 46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8" name="TextBox 47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9" name="TextBox 48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11640</xdr:colOff>
      <xdr:row>30</xdr:row>
      <xdr:rowOff>31739</xdr:rowOff>
    </xdr:from>
    <xdr:to>
      <xdr:col>17</xdr:col>
      <xdr:colOff>380999</xdr:colOff>
      <xdr:row>35</xdr:row>
      <xdr:rowOff>21158</xdr:rowOff>
    </xdr:to>
    <xdr:grpSp>
      <xdr:nvGrpSpPr>
        <xdr:cNvPr id="14" name="กลุ่ม 13"/>
        <xdr:cNvGrpSpPr/>
      </xdr:nvGrpSpPr>
      <xdr:grpSpPr>
        <a:xfrm>
          <a:off x="159807" y="8519572"/>
          <a:ext cx="17302692" cy="1259419"/>
          <a:chOff x="1190625" y="5191125"/>
          <a:chExt cx="12163425" cy="1103971"/>
        </a:xfrm>
      </xdr:grpSpPr>
      <xdr:sp macro="" textlink="">
        <xdr:nvSpPr>
          <xdr:cNvPr id="15" name="TextBox 14"/>
          <xdr:cNvSpPr txBox="1"/>
        </xdr:nvSpPr>
        <xdr:spPr bwMode="auto">
          <a:xfrm>
            <a:off x="1190625" y="5191125"/>
            <a:ext cx="1943082" cy="8764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 bwMode="auto">
          <a:xfrm>
            <a:off x="11106150" y="5191125"/>
            <a:ext cx="2247900" cy="11039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 bwMode="auto">
          <a:xfrm>
            <a:off x="6019800" y="5191126"/>
            <a:ext cx="1965913" cy="882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11640</xdr:colOff>
      <xdr:row>76</xdr:row>
      <xdr:rowOff>31739</xdr:rowOff>
    </xdr:from>
    <xdr:to>
      <xdr:col>17</xdr:col>
      <xdr:colOff>380999</xdr:colOff>
      <xdr:row>81</xdr:row>
      <xdr:rowOff>21158</xdr:rowOff>
    </xdr:to>
    <xdr:grpSp>
      <xdr:nvGrpSpPr>
        <xdr:cNvPr id="18" name="กลุ่ม 17"/>
        <xdr:cNvGrpSpPr/>
      </xdr:nvGrpSpPr>
      <xdr:grpSpPr>
        <a:xfrm>
          <a:off x="159807" y="21018489"/>
          <a:ext cx="17302692" cy="1259419"/>
          <a:chOff x="1190625" y="5191125"/>
          <a:chExt cx="12163425" cy="1103971"/>
        </a:xfrm>
      </xdr:grpSpPr>
      <xdr:sp macro="" textlink="">
        <xdr:nvSpPr>
          <xdr:cNvPr id="19" name="TextBox 18"/>
          <xdr:cNvSpPr txBox="1"/>
        </xdr:nvSpPr>
        <xdr:spPr bwMode="auto">
          <a:xfrm>
            <a:off x="1190625" y="5191125"/>
            <a:ext cx="1943082" cy="8764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11106150" y="5191125"/>
            <a:ext cx="2247900" cy="11039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1" name="TextBox 20"/>
          <xdr:cNvSpPr txBox="1"/>
        </xdr:nvSpPr>
        <xdr:spPr bwMode="auto">
          <a:xfrm>
            <a:off x="6019800" y="5191126"/>
            <a:ext cx="1965913" cy="882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19051</xdr:rowOff>
    </xdr:from>
    <xdr:to>
      <xdr:col>8</xdr:col>
      <xdr:colOff>1200150</xdr:colOff>
      <xdr:row>42</xdr:row>
      <xdr:rowOff>241979</xdr:rowOff>
    </xdr:to>
    <xdr:grpSp>
      <xdr:nvGrpSpPr>
        <xdr:cNvPr id="2" name="กลุ่ม 4"/>
        <xdr:cNvGrpSpPr>
          <a:grpSpLocks/>
        </xdr:cNvGrpSpPr>
      </xdr:nvGrpSpPr>
      <xdr:grpSpPr bwMode="auto">
        <a:xfrm>
          <a:off x="209550" y="8610601"/>
          <a:ext cx="6181725" cy="1251628"/>
          <a:chOff x="228600" y="7781922"/>
          <a:chExt cx="5343526" cy="131484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0</xdr:col>
      <xdr:colOff>171450</xdr:colOff>
      <xdr:row>76</xdr:row>
      <xdr:rowOff>28576</xdr:rowOff>
    </xdr:from>
    <xdr:to>
      <xdr:col>8</xdr:col>
      <xdr:colOff>1162050</xdr:colOff>
      <xdr:row>80</xdr:row>
      <xdr:rowOff>251503</xdr:rowOff>
    </xdr:to>
    <xdr:grpSp>
      <xdr:nvGrpSpPr>
        <xdr:cNvPr id="6" name="กลุ่ม 4"/>
        <xdr:cNvGrpSpPr>
          <a:grpSpLocks/>
        </xdr:cNvGrpSpPr>
      </xdr:nvGrpSpPr>
      <xdr:grpSpPr bwMode="auto">
        <a:xfrm>
          <a:off x="171450" y="18135601"/>
          <a:ext cx="6181725" cy="1251627"/>
          <a:chOff x="228600" y="7781923"/>
          <a:chExt cx="5343526" cy="1314845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49832" y="7781923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11120" y="7781923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10</xdr:col>
      <xdr:colOff>152400</xdr:colOff>
      <xdr:row>17</xdr:row>
      <xdr:rowOff>95251</xdr:rowOff>
    </xdr:from>
    <xdr:to>
      <xdr:col>17</xdr:col>
      <xdr:colOff>990600</xdr:colOff>
      <xdr:row>22</xdr:row>
      <xdr:rowOff>61004</xdr:rowOff>
    </xdr:to>
    <xdr:grpSp>
      <xdr:nvGrpSpPr>
        <xdr:cNvPr id="14" name="กลุ่ม 4"/>
        <xdr:cNvGrpSpPr>
          <a:grpSpLocks/>
        </xdr:cNvGrpSpPr>
      </xdr:nvGrpSpPr>
      <xdr:grpSpPr bwMode="auto">
        <a:xfrm>
          <a:off x="6972300" y="3943351"/>
          <a:ext cx="5705475" cy="1251628"/>
          <a:chOff x="228600" y="7781922"/>
          <a:chExt cx="5343526" cy="1314846"/>
        </a:xfrm>
      </xdr:grpSpPr>
      <xdr:sp macro="" textlink="">
        <xdr:nvSpPr>
          <xdr:cNvPr id="15" name="TextBox 14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9</xdr:col>
      <xdr:colOff>66675</xdr:colOff>
      <xdr:row>59</xdr:row>
      <xdr:rowOff>19051</xdr:rowOff>
    </xdr:from>
    <xdr:to>
      <xdr:col>17</xdr:col>
      <xdr:colOff>1266825</xdr:colOff>
      <xdr:row>63</xdr:row>
      <xdr:rowOff>241978</xdr:rowOff>
    </xdr:to>
    <xdr:grpSp>
      <xdr:nvGrpSpPr>
        <xdr:cNvPr id="22" name="กลุ่ม 4"/>
        <xdr:cNvGrpSpPr>
          <a:grpSpLocks/>
        </xdr:cNvGrpSpPr>
      </xdr:nvGrpSpPr>
      <xdr:grpSpPr bwMode="auto">
        <a:xfrm>
          <a:off x="6629400" y="13849351"/>
          <a:ext cx="6324600" cy="1251627"/>
          <a:chOff x="228600" y="7781923"/>
          <a:chExt cx="5343526" cy="1314845"/>
        </a:xfrm>
      </xdr:grpSpPr>
      <xdr:sp macro="" textlink="">
        <xdr:nvSpPr>
          <xdr:cNvPr id="23" name="TextBox 2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1949832" y="7781923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3611120" y="7781923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18</xdr:col>
      <xdr:colOff>200025</xdr:colOff>
      <xdr:row>51</xdr:row>
      <xdr:rowOff>152401</xdr:rowOff>
    </xdr:from>
    <xdr:to>
      <xdr:col>27</xdr:col>
      <xdr:colOff>1038225</xdr:colOff>
      <xdr:row>56</xdr:row>
      <xdr:rowOff>180975</xdr:rowOff>
    </xdr:to>
    <xdr:grpSp>
      <xdr:nvGrpSpPr>
        <xdr:cNvPr id="26" name="กลุ่ม 4"/>
        <xdr:cNvGrpSpPr>
          <a:grpSpLocks/>
        </xdr:cNvGrpSpPr>
      </xdr:nvGrpSpPr>
      <xdr:grpSpPr bwMode="auto">
        <a:xfrm>
          <a:off x="13258800" y="11925301"/>
          <a:ext cx="6172200" cy="1314449"/>
          <a:chOff x="228600" y="7781923"/>
          <a:chExt cx="5343526" cy="1314845"/>
        </a:xfrm>
      </xdr:grpSpPr>
      <xdr:sp macro="" textlink="">
        <xdr:nvSpPr>
          <xdr:cNvPr id="27" name="TextBox 26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1949832" y="7781923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3611120" y="7781923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34</xdr:row>
      <xdr:rowOff>66671</xdr:rowOff>
    </xdr:from>
    <xdr:to>
      <xdr:col>4</xdr:col>
      <xdr:colOff>704850</xdr:colOff>
      <xdr:row>39</xdr:row>
      <xdr:rowOff>28576</xdr:rowOff>
    </xdr:to>
    <xdr:grpSp>
      <xdr:nvGrpSpPr>
        <xdr:cNvPr id="2" name="กลุ่ม 9"/>
        <xdr:cNvGrpSpPr>
          <a:grpSpLocks/>
        </xdr:cNvGrpSpPr>
      </xdr:nvGrpSpPr>
      <xdr:grpSpPr bwMode="auto">
        <a:xfrm>
          <a:off x="628650" y="9315446"/>
          <a:ext cx="7524750" cy="1247780"/>
          <a:chOff x="228600" y="7781918"/>
          <a:chExt cx="5343526" cy="131151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2"/>
            <a:ext cx="1707919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55356" y="7781921"/>
            <a:ext cx="1701640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3042" y="7781918"/>
            <a:ext cx="1959084" cy="13115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30</xdr:row>
      <xdr:rowOff>0</xdr:rowOff>
    </xdr:from>
    <xdr:to>
      <xdr:col>6</xdr:col>
      <xdr:colOff>1095375</xdr:colOff>
      <xdr:row>34</xdr:row>
      <xdr:rowOff>222928</xdr:rowOff>
    </xdr:to>
    <xdr:grpSp>
      <xdr:nvGrpSpPr>
        <xdr:cNvPr id="2" name="กลุ่ม 4"/>
        <xdr:cNvGrpSpPr>
          <a:grpSpLocks/>
        </xdr:cNvGrpSpPr>
      </xdr:nvGrpSpPr>
      <xdr:grpSpPr bwMode="auto">
        <a:xfrm>
          <a:off x="400050" y="8039100"/>
          <a:ext cx="6115050" cy="1251628"/>
          <a:chOff x="228600" y="7781922"/>
          <a:chExt cx="5343526" cy="131484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168079</xdr:colOff>
      <xdr:row>119</xdr:row>
      <xdr:rowOff>84038</xdr:rowOff>
    </xdr:from>
    <xdr:to>
      <xdr:col>16</xdr:col>
      <xdr:colOff>420211</xdr:colOff>
      <xdr:row>122</xdr:row>
      <xdr:rowOff>63027</xdr:rowOff>
    </xdr:to>
    <xdr:grpSp>
      <xdr:nvGrpSpPr>
        <xdr:cNvPr id="2" name="กลุ่ม 1"/>
        <xdr:cNvGrpSpPr/>
      </xdr:nvGrpSpPr>
      <xdr:grpSpPr>
        <a:xfrm>
          <a:off x="378189" y="24540876"/>
          <a:ext cx="8873658" cy="595313"/>
          <a:chOff x="1190625" y="5191125"/>
          <a:chExt cx="12163425" cy="1103971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90625" y="5191125"/>
            <a:ext cx="1943082" cy="8764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0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0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0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0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0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11106150" y="5191125"/>
            <a:ext cx="2247900" cy="11039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0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0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0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0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0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6019800" y="5191126"/>
            <a:ext cx="1965913" cy="882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0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0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0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0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0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0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22</xdr:row>
      <xdr:rowOff>247650</xdr:rowOff>
    </xdr:from>
    <xdr:to>
      <xdr:col>6</xdr:col>
      <xdr:colOff>657225</xdr:colOff>
      <xdr:row>27</xdr:row>
      <xdr:rowOff>180975</xdr:rowOff>
    </xdr:to>
    <xdr:grpSp>
      <xdr:nvGrpSpPr>
        <xdr:cNvPr id="2" name="กลุ่ม 4"/>
        <xdr:cNvGrpSpPr>
          <a:grpSpLocks/>
        </xdr:cNvGrpSpPr>
      </xdr:nvGrpSpPr>
      <xdr:grpSpPr bwMode="auto">
        <a:xfrm>
          <a:off x="495300" y="11839575"/>
          <a:ext cx="8077200" cy="1219200"/>
          <a:chOff x="228600" y="7781922"/>
          <a:chExt cx="5343526" cy="131484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0</xdr:col>
      <xdr:colOff>466725</xdr:colOff>
      <xdr:row>36</xdr:row>
      <xdr:rowOff>19050</xdr:rowOff>
    </xdr:from>
    <xdr:to>
      <xdr:col>6</xdr:col>
      <xdr:colOff>628650</xdr:colOff>
      <xdr:row>40</xdr:row>
      <xdr:rowOff>209550</xdr:rowOff>
    </xdr:to>
    <xdr:grpSp>
      <xdr:nvGrpSpPr>
        <xdr:cNvPr id="10" name="กลุ่ม 4"/>
        <xdr:cNvGrpSpPr>
          <a:grpSpLocks/>
        </xdr:cNvGrpSpPr>
      </xdr:nvGrpSpPr>
      <xdr:grpSpPr bwMode="auto">
        <a:xfrm>
          <a:off x="466725" y="15173325"/>
          <a:ext cx="8077200" cy="1219200"/>
          <a:chOff x="228600" y="7781922"/>
          <a:chExt cx="5343526" cy="1314846"/>
        </a:xfrm>
      </xdr:grpSpPr>
      <xdr:sp macro="" textlink="">
        <xdr:nvSpPr>
          <xdr:cNvPr id="11" name="TextBox 10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152399</xdr:rowOff>
    </xdr:from>
    <xdr:to>
      <xdr:col>5</xdr:col>
      <xdr:colOff>1228725</xdr:colOff>
      <xdr:row>19</xdr:row>
      <xdr:rowOff>85725</xdr:rowOff>
    </xdr:to>
    <xdr:grpSp>
      <xdr:nvGrpSpPr>
        <xdr:cNvPr id="2" name="กลุ่ม 4"/>
        <xdr:cNvGrpSpPr>
          <a:grpSpLocks/>
        </xdr:cNvGrpSpPr>
      </xdr:nvGrpSpPr>
      <xdr:grpSpPr bwMode="auto">
        <a:xfrm>
          <a:off x="514350" y="4057649"/>
          <a:ext cx="5486400" cy="1219201"/>
          <a:chOff x="228600" y="7781922"/>
          <a:chExt cx="5343526" cy="131484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26</xdr:row>
      <xdr:rowOff>0</xdr:rowOff>
    </xdr:from>
    <xdr:to>
      <xdr:col>5</xdr:col>
      <xdr:colOff>790575</xdr:colOff>
      <xdr:row>30</xdr:row>
      <xdr:rowOff>222928</xdr:rowOff>
    </xdr:to>
    <xdr:grpSp>
      <xdr:nvGrpSpPr>
        <xdr:cNvPr id="2" name="กลุ่ม 4"/>
        <xdr:cNvGrpSpPr>
          <a:grpSpLocks/>
        </xdr:cNvGrpSpPr>
      </xdr:nvGrpSpPr>
      <xdr:grpSpPr bwMode="auto">
        <a:xfrm>
          <a:off x="581025" y="6867525"/>
          <a:ext cx="6115050" cy="1251628"/>
          <a:chOff x="228600" y="7781922"/>
          <a:chExt cx="5343526" cy="1314846"/>
        </a:xfrm>
      </xdr:grpSpPr>
      <xdr:sp macro="" textlink="">
        <xdr:nvSpPr>
          <xdr:cNvPr id="3" name="TextBox 2"/>
          <xdr:cNvSpPr txBox="1"/>
        </xdr:nvSpPr>
        <xdr:spPr>
          <a:xfrm>
            <a:off x="228600" y="7781925"/>
            <a:ext cx="1704105" cy="131484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>
            <a:sp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ตรวจแล้วถูกต้อง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th-TH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.....................................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(นายไชยยศ  ศักดิ์ศรีศิริสกุล)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949832" y="7781922"/>
            <a:ext cx="1704105" cy="131484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>
            <a:sp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ตรวจแล้วถูกต้อง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th-TH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.....................................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(นางสาวสุริศรี  สารพฤกษ์)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ปลัดเทศบาล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11120" y="7781922"/>
            <a:ext cx="1961006" cy="131484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>
            <a:sp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ตรวจแล้วถูกต้อง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th-TH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.....................................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(นายอุดม  อิ่นคำ)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H SarabunIT๙" pitchFamily="34" charset="-34"/>
                <a:ea typeface="+mn-ea"/>
                <a:cs typeface="TH SarabunIT๙" pitchFamily="34" charset="-34"/>
              </a:rPr>
              <a:t>นายกเทศมนตรีตำบลแม่คือ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1952624</xdr:colOff>
      <xdr:row>14</xdr:row>
      <xdr:rowOff>47625</xdr:rowOff>
    </xdr:from>
    <xdr:to>
      <xdr:col>2</xdr:col>
      <xdr:colOff>847724</xdr:colOff>
      <xdr:row>20</xdr:row>
      <xdr:rowOff>9525</xdr:rowOff>
    </xdr:to>
    <xdr:sp macro="" textlink="">
      <xdr:nvSpPr>
        <xdr:cNvPr id="6" name="TextBox 5"/>
        <xdr:cNvSpPr txBox="1"/>
      </xdr:nvSpPr>
      <xdr:spPr bwMode="auto">
        <a:xfrm>
          <a:off x="2228849" y="4448175"/>
          <a:ext cx="2352675" cy="184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pPr algn="ctr"/>
          <a:endParaRPr lang="en-US" sz="16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(นายไชยยศ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ศักดิ์ศรีศิริสกุล)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345281</xdr:colOff>
      <xdr:row>13</xdr:row>
      <xdr:rowOff>130969</xdr:rowOff>
    </xdr:from>
    <xdr:to>
      <xdr:col>7</xdr:col>
      <xdr:colOff>1095375</xdr:colOff>
      <xdr:row>17</xdr:row>
      <xdr:rowOff>130969</xdr:rowOff>
    </xdr:to>
    <xdr:grpSp>
      <xdr:nvGrpSpPr>
        <xdr:cNvPr id="2" name="กลุ่ม 1"/>
        <xdr:cNvGrpSpPr/>
      </xdr:nvGrpSpPr>
      <xdr:grpSpPr>
        <a:xfrm>
          <a:off x="345281" y="4869657"/>
          <a:ext cx="13049250" cy="1047750"/>
          <a:chOff x="1190625" y="5191125"/>
          <a:chExt cx="12163425" cy="1103971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90625" y="5191125"/>
            <a:ext cx="1943082" cy="8764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6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6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11106150" y="5191125"/>
            <a:ext cx="2247900" cy="11039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6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6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6019800" y="5191126"/>
            <a:ext cx="1965913" cy="882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6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6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e/&#3591;&#3610;&#3611;&#3637;59/&#3619;&#3634;&#3618;&#3591;&#3634;&#3609;&#3626;&#3606;&#3634;&#3609;&#3632;&#3585;&#3634;&#3619;&#3648;&#3591;&#3636;&#3609;&#3611;&#3637;255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8;&#3604;&#3639;&#3629;&#3609;%20&#3607;&#3605;60/&#3619;&#3633;&#3610;-&#3592;&#3656;&#3634;&#3618;6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8;&#3604;&#3639;&#3629;&#3609;%20&#3607;&#3605;60/&#3627;&#3617;&#3634;&#3618;&#3648;&#3627;&#3605;&#3640;1-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48;&#3591;&#3636;&#3609;&#3588;&#3591;&#3648;&#3627;&#3621;&#3639;&#3629;5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48;&#3591;&#3636;&#3609;&#3588;&#3591;&#3648;&#3627;&#3621;&#3639;&#3629;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8;&#3604;&#3639;&#3629;&#3609;%20&#3607;&#3605;60/&#3627;&#3617;&#3634;&#3618;&#3648;&#3627;&#3605;&#3640;23-6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%203%20&#3648;&#3604;&#3639;&#3629;&#3609;%2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7;&#3632;&#3648;&#3610;&#3637;&#3618;&#3609;&#3611;&#3637;6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%203%20&#3648;&#3604;&#3639;&#3629;&#3609;%2059/&#3591;&#3610;%203%20&#3648;&#3604;&#3639;&#3629;&#3609;%205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585;&#3619;&#3632;&#3604;&#3634;&#3625;&#3607;&#3635;&#3585;&#3634;&#3619;&#3592;&#3656;&#3634;&#3618;&#3592;&#3634;&#3585;&#3648;&#3591;&#3636;&#3609;&#3619;&#3634;&#3618;&#3619;&#3633;&#3610;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8;&#3604;&#3639;&#3629;&#3609;%20&#3607;&#3605;60/&#3591;&#3610;&#3607;&#3604;&#3621;&#3629;&#3591;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แสดงฐานะการเงิน"/>
      <sheetName val="หมายเหตุ1"/>
      <sheetName val="หมายเหตุ2"/>
      <sheetName val="หมายเหตุ3-5"/>
      <sheetName val="หมายเหตุ6"/>
      <sheetName val="หมายเหตุ 7"/>
      <sheetName val="หมายเหตุ8"/>
      <sheetName val="หมายเหตุ9"/>
      <sheetName val="กบท"/>
      <sheetName val="แนบท้าย 9"/>
      <sheetName val="งบแสดงผลการดำเนินงาน"/>
      <sheetName val="แยกแผนงาน"/>
      <sheetName val="งบแสดงผลฯจ่ายจากเงินอุดหนุนทั่ว"/>
      <sheetName val="งบแสดงผลฯจ่ายจากเงินระบุ"/>
      <sheetName val="งบแสดงผลฯจ่ายจากเงินสะสม"/>
      <sheetName val="หมายเหตุประกอบผลการดำเนินงาน1-2"/>
      <sheetName val="งบทดลองก่อนปิดบัญชี"/>
      <sheetName val="งบทดลองหลังปิดบัญชี"/>
      <sheetName val="กระดาษทำการ (ปป)"/>
      <sheetName val="Sheet2"/>
    </sheetNames>
    <sheetDataSet>
      <sheetData sheetId="0" refreshError="1"/>
      <sheetData sheetId="1" refreshError="1"/>
      <sheetData sheetId="2">
        <row r="7">
          <cell r="E7">
            <v>7258107</v>
          </cell>
        </row>
        <row r="8">
          <cell r="C8">
            <v>13728083</v>
          </cell>
          <cell r="E8">
            <v>8722260</v>
          </cell>
        </row>
        <row r="9">
          <cell r="C9">
            <v>2677000</v>
          </cell>
          <cell r="E9">
            <v>1049852</v>
          </cell>
        </row>
        <row r="10">
          <cell r="C10">
            <v>1180000</v>
          </cell>
          <cell r="E10">
            <v>289500</v>
          </cell>
        </row>
        <row r="11">
          <cell r="C11">
            <v>0</v>
          </cell>
          <cell r="E11">
            <v>0</v>
          </cell>
        </row>
        <row r="12">
          <cell r="C12">
            <v>1980236</v>
          </cell>
          <cell r="E12">
            <v>11669500</v>
          </cell>
        </row>
        <row r="13">
          <cell r="C13">
            <v>0</v>
          </cell>
        </row>
        <row r="14">
          <cell r="C14">
            <v>5083200</v>
          </cell>
        </row>
        <row r="15">
          <cell r="C15">
            <v>432780</v>
          </cell>
        </row>
        <row r="16">
          <cell r="C16">
            <v>20200</v>
          </cell>
        </row>
        <row r="17">
          <cell r="C17">
            <v>2376105</v>
          </cell>
        </row>
        <row r="18">
          <cell r="C18">
            <v>79620</v>
          </cell>
        </row>
        <row r="19">
          <cell r="C19">
            <v>88350</v>
          </cell>
        </row>
        <row r="20">
          <cell r="C20">
            <v>20455</v>
          </cell>
        </row>
        <row r="21">
          <cell r="C21">
            <v>25180</v>
          </cell>
        </row>
        <row r="22">
          <cell r="C22">
            <v>15000</v>
          </cell>
        </row>
        <row r="23">
          <cell r="C23">
            <v>0</v>
          </cell>
        </row>
        <row r="24">
          <cell r="C24">
            <v>42500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781830</v>
          </cell>
        </row>
        <row r="28">
          <cell r="C28">
            <v>458680</v>
          </cell>
        </row>
        <row r="29">
          <cell r="C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ย."/>
      <sheetName val="ธ.ค."/>
      <sheetName val="ม.ค"/>
      <sheetName val="ก.พ."/>
      <sheetName val="มี.ค."/>
      <sheetName val="เม.ย"/>
      <sheetName val="พ.ค."/>
      <sheetName val="มิ.ย."/>
      <sheetName val="ก.ค"/>
      <sheetName val="ส.ค"/>
      <sheetName val="ก.ย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0">
          <cell r="D20">
            <v>8328971</v>
          </cell>
        </row>
        <row r="51">
          <cell r="D51">
            <v>653125.12</v>
          </cell>
        </row>
        <row r="52">
          <cell r="D52">
            <v>8472800</v>
          </cell>
        </row>
        <row r="53">
          <cell r="D53">
            <v>2624640</v>
          </cell>
        </row>
        <row r="54">
          <cell r="D54">
            <v>7939566</v>
          </cell>
        </row>
        <row r="55">
          <cell r="D55">
            <v>2085395</v>
          </cell>
        </row>
        <row r="56">
          <cell r="D56">
            <v>993687</v>
          </cell>
        </row>
        <row r="57">
          <cell r="D57">
            <v>0</v>
          </cell>
        </row>
        <row r="58">
          <cell r="D58">
            <v>5867394.8700000001</v>
          </cell>
        </row>
        <row r="59">
          <cell r="D59">
            <v>1041120</v>
          </cell>
        </row>
        <row r="60">
          <cell r="D60">
            <v>803424.40000000014</v>
          </cell>
        </row>
        <row r="61">
          <cell r="D61">
            <v>671910.15999999992</v>
          </cell>
        </row>
        <row r="62">
          <cell r="D62">
            <v>313623.75</v>
          </cell>
        </row>
        <row r="63">
          <cell r="D63">
            <v>0</v>
          </cell>
        </row>
        <row r="64">
          <cell r="D64">
            <v>868604</v>
          </cell>
        </row>
        <row r="65">
          <cell r="D65">
            <v>3500</v>
          </cell>
        </row>
        <row r="66">
          <cell r="D66">
            <v>7000</v>
          </cell>
        </row>
        <row r="67">
          <cell r="D67">
            <v>2753120</v>
          </cell>
        </row>
        <row r="68">
          <cell r="D68">
            <v>38200</v>
          </cell>
        </row>
        <row r="69">
          <cell r="D69">
            <v>0</v>
          </cell>
        </row>
        <row r="70">
          <cell r="D70">
            <v>220000</v>
          </cell>
        </row>
        <row r="71">
          <cell r="D71">
            <v>1078000</v>
          </cell>
        </row>
        <row r="72">
          <cell r="D72">
            <v>6293877.9699999997</v>
          </cell>
        </row>
        <row r="75">
          <cell r="D75">
            <v>8328971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ะมาณการ"/>
      <sheetName val="รวมปี"/>
      <sheetName val="ต.ค."/>
      <sheetName val="พย."/>
      <sheetName val="ธ.ค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"/>
      <sheetName val="ก.ย."/>
    </sheetNames>
    <sheetDataSet>
      <sheetData sheetId="0"/>
      <sheetData sheetId="1"/>
      <sheetData sheetId="2"/>
      <sheetData sheetId="3">
        <row r="134">
          <cell r="D134">
            <v>7784234.71</v>
          </cell>
        </row>
      </sheetData>
      <sheetData sheetId="4">
        <row r="133">
          <cell r="D133">
            <v>127800</v>
          </cell>
        </row>
      </sheetData>
      <sheetData sheetId="5">
        <row r="130">
          <cell r="E130">
            <v>18000</v>
          </cell>
        </row>
      </sheetData>
      <sheetData sheetId="6">
        <row r="133">
          <cell r="D133">
            <v>145800</v>
          </cell>
        </row>
      </sheetData>
      <sheetData sheetId="7">
        <row r="133">
          <cell r="E133">
            <v>2760000</v>
          </cell>
        </row>
      </sheetData>
      <sheetData sheetId="8">
        <row r="134">
          <cell r="D134">
            <v>29143414.859999999</v>
          </cell>
        </row>
      </sheetData>
      <sheetData sheetId="9">
        <row r="134">
          <cell r="D134">
            <v>30929424.219999999</v>
          </cell>
        </row>
      </sheetData>
      <sheetData sheetId="10">
        <row r="134">
          <cell r="D134">
            <v>33685998.460000001</v>
          </cell>
        </row>
      </sheetData>
      <sheetData sheetId="11">
        <row r="133">
          <cell r="D133">
            <v>4499800</v>
          </cell>
        </row>
      </sheetData>
      <sheetData sheetId="12">
        <row r="133">
          <cell r="D133">
            <v>4499800</v>
          </cell>
        </row>
      </sheetData>
      <sheetData sheetId="13">
        <row r="133">
          <cell r="D133">
            <v>6293877.9699999997</v>
          </cell>
        </row>
        <row r="134">
          <cell r="D134">
            <v>43282635.879999995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เช็คค้างต.ค"/>
      <sheetName val="พ.ย."/>
      <sheetName val="เช็คค้างพ.ย"/>
      <sheetName val="ธ.ค."/>
      <sheetName val="เช็คค้างธ.ค"/>
      <sheetName val="ม.ค."/>
      <sheetName val="เช็คค้างม.ค"/>
      <sheetName val="ก.พ."/>
      <sheetName val="เช็คค้างก.พ"/>
      <sheetName val="มี.ค."/>
      <sheetName val="เช็คค้างมี.ค"/>
      <sheetName val="เม.ย"/>
      <sheetName val="เช็คค้างเม.ย."/>
      <sheetName val="พ.ค."/>
      <sheetName val="เช็คค้างพ.ค."/>
      <sheetName val="มิ.ย."/>
      <sheetName val="เช็คค้างมิ.ย"/>
      <sheetName val="ก.ค."/>
      <sheetName val="เช็คค้างก.ค."/>
      <sheetName val="ส.ค."/>
      <sheetName val="เช็คค้างส.ค."/>
      <sheetName val="ก.ย."/>
      <sheetName val="เช็คค้างก.ย."/>
    </sheetNames>
    <sheetDataSet>
      <sheetData sheetId="0">
        <row r="879">
          <cell r="K879">
            <v>711962.59999999986</v>
          </cell>
        </row>
      </sheetData>
      <sheetData sheetId="1"/>
      <sheetData sheetId="2">
        <row r="836">
          <cell r="K836">
            <v>711962.59999999986</v>
          </cell>
        </row>
      </sheetData>
      <sheetData sheetId="3"/>
      <sheetData sheetId="4">
        <row r="836">
          <cell r="K836">
            <v>711962.59999999986</v>
          </cell>
        </row>
      </sheetData>
      <sheetData sheetId="5"/>
      <sheetData sheetId="6">
        <row r="836">
          <cell r="K836">
            <v>738087.59999999986</v>
          </cell>
        </row>
      </sheetData>
      <sheetData sheetId="7"/>
      <sheetData sheetId="8">
        <row r="879">
          <cell r="K879">
            <v>738087.59999999986</v>
          </cell>
        </row>
      </sheetData>
      <sheetData sheetId="9"/>
      <sheetData sheetId="10">
        <row r="965">
          <cell r="K965">
            <v>738087.59999999986</v>
          </cell>
        </row>
      </sheetData>
      <sheetData sheetId="11"/>
      <sheetData sheetId="12">
        <row r="707">
          <cell r="K707">
            <v>738087.59999999986</v>
          </cell>
        </row>
      </sheetData>
      <sheetData sheetId="13"/>
      <sheetData sheetId="14">
        <row r="836">
          <cell r="K836">
            <v>745756.59999999986</v>
          </cell>
        </row>
      </sheetData>
      <sheetData sheetId="15"/>
      <sheetData sheetId="16">
        <row r="922">
          <cell r="K922">
            <v>746491.59999999986</v>
          </cell>
        </row>
      </sheetData>
      <sheetData sheetId="17"/>
      <sheetData sheetId="18">
        <row r="707">
          <cell r="K707">
            <v>757991.59999999986</v>
          </cell>
        </row>
      </sheetData>
      <sheetData sheetId="19"/>
      <sheetData sheetId="20">
        <row r="922">
          <cell r="K922">
            <v>765191.59999999986</v>
          </cell>
        </row>
      </sheetData>
      <sheetData sheetId="21"/>
      <sheetData sheetId="22">
        <row r="869">
          <cell r="K869">
            <v>0</v>
          </cell>
        </row>
      </sheetData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เช็คค้างต.ค"/>
      <sheetName val="พ.ย"/>
      <sheetName val="เช็คค้างพ.ย"/>
      <sheetName val="ธ.ค."/>
      <sheetName val="เช็คค้างธ.ค"/>
      <sheetName val="ม.ค"/>
      <sheetName val="เช็คค้างม.ค"/>
      <sheetName val="ก.พ"/>
      <sheetName val="เช็คค้างก.พ"/>
      <sheetName val="มี.ค."/>
      <sheetName val="เช็คค้างมี.ค"/>
      <sheetName val="เม.ย."/>
      <sheetName val="เช็คค้างเม.ย."/>
      <sheetName val="พ.ค."/>
      <sheetName val="เช็คค้างพ.ค."/>
      <sheetName val="มิ.ย."/>
      <sheetName val="เช็คค้างมิ.ย"/>
      <sheetName val="ก.ค."/>
      <sheetName val="เช็คค้างก.ค."/>
      <sheetName val="ส.ค."/>
      <sheetName val="เช็คค้างส.ค."/>
      <sheetName val="ก.ย."/>
      <sheetName val="เช็คค้างก.ย."/>
    </sheetNames>
    <sheetDataSet>
      <sheetData sheetId="0">
        <row r="879">
          <cell r="K879">
            <v>772191.6</v>
          </cell>
        </row>
      </sheetData>
      <sheetData sheetId="1"/>
      <sheetData sheetId="2">
        <row r="922">
          <cell r="K922">
            <v>781582.59</v>
          </cell>
        </row>
      </sheetData>
      <sheetData sheetId="3"/>
      <sheetData sheetId="4">
        <row r="879">
          <cell r="K879">
            <v>781582.59</v>
          </cell>
        </row>
      </sheetData>
      <sheetData sheetId="5"/>
      <sheetData sheetId="6">
        <row r="922">
          <cell r="K922">
            <v>781582.59</v>
          </cell>
        </row>
      </sheetData>
      <sheetData sheetId="7"/>
      <sheetData sheetId="8">
        <row r="793">
          <cell r="K793">
            <v>781582.59</v>
          </cell>
        </row>
      </sheetData>
      <sheetData sheetId="9"/>
      <sheetData sheetId="10">
        <row r="965">
          <cell r="K965">
            <v>783582.59</v>
          </cell>
        </row>
      </sheetData>
      <sheetData sheetId="11"/>
      <sheetData sheetId="12"/>
      <sheetData sheetId="13"/>
      <sheetData sheetId="14">
        <row r="836">
          <cell r="K836">
            <v>785136.01</v>
          </cell>
        </row>
      </sheetData>
      <sheetData sheetId="15"/>
      <sheetData sheetId="16">
        <row r="879">
          <cell r="K879">
            <v>785136.01</v>
          </cell>
        </row>
      </sheetData>
      <sheetData sheetId="17"/>
      <sheetData sheetId="18">
        <row r="793">
          <cell r="K793">
            <v>785136.01</v>
          </cell>
        </row>
      </sheetData>
      <sheetData sheetId="19"/>
      <sheetData sheetId="20">
        <row r="879">
          <cell r="K879">
            <v>785136.01</v>
          </cell>
        </row>
      </sheetData>
      <sheetData sheetId="21"/>
      <sheetData sheetId="22">
        <row r="922">
          <cell r="K922">
            <v>785136.01</v>
          </cell>
        </row>
        <row r="924">
          <cell r="K924">
            <v>41515.229999999996</v>
          </cell>
        </row>
        <row r="926">
          <cell r="K926">
            <v>954950.44</v>
          </cell>
        </row>
        <row r="927">
          <cell r="K927">
            <v>8748.68</v>
          </cell>
        </row>
        <row r="928">
          <cell r="K928">
            <v>5376338.0800000019</v>
          </cell>
        </row>
        <row r="929">
          <cell r="K929">
            <v>15000000</v>
          </cell>
        </row>
      </sheetData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ริ่มต้น60"/>
      <sheetName val="ต.ค."/>
      <sheetName val="พ.ย."/>
      <sheetName val="ธ.ค"/>
      <sheetName val="ม.ค"/>
      <sheetName val="ก.พ."/>
      <sheetName val="มี.ค."/>
      <sheetName val="เม.ย"/>
      <sheetName val="พ.ค"/>
      <sheetName val="มิ.ย."/>
      <sheetName val="ก.ค."/>
      <sheetName val="ส.ค"/>
      <sheetName val="ก.ย."/>
    </sheetNames>
    <sheetDataSet>
      <sheetData sheetId="0"/>
      <sheetData sheetId="1">
        <row r="16">
          <cell r="B16">
            <v>1614756.8599999999</v>
          </cell>
        </row>
      </sheetData>
      <sheetData sheetId="2">
        <row r="16">
          <cell r="E16">
            <v>1620715.03</v>
          </cell>
        </row>
      </sheetData>
      <sheetData sheetId="3">
        <row r="13">
          <cell r="E13">
            <v>308958</v>
          </cell>
        </row>
      </sheetData>
      <sheetData sheetId="4">
        <row r="13">
          <cell r="E13">
            <v>315758</v>
          </cell>
        </row>
      </sheetData>
      <sheetData sheetId="5">
        <row r="14">
          <cell r="E14">
            <v>315758</v>
          </cell>
        </row>
      </sheetData>
      <sheetData sheetId="6">
        <row r="17">
          <cell r="C17">
            <v>58763.58</v>
          </cell>
        </row>
      </sheetData>
      <sheetData sheetId="7">
        <row r="16">
          <cell r="C16">
            <v>388799.85</v>
          </cell>
        </row>
      </sheetData>
      <sheetData sheetId="8">
        <row r="14">
          <cell r="E14">
            <v>523783</v>
          </cell>
        </row>
      </sheetData>
      <sheetData sheetId="9">
        <row r="14">
          <cell r="E14">
            <v>523783</v>
          </cell>
        </row>
      </sheetData>
      <sheetData sheetId="10">
        <row r="16">
          <cell r="C16">
            <v>42596.35</v>
          </cell>
        </row>
      </sheetData>
      <sheetData sheetId="11">
        <row r="16">
          <cell r="C16">
            <v>64272.85</v>
          </cell>
        </row>
      </sheetData>
      <sheetData sheetId="12">
        <row r="6">
          <cell r="E6">
            <v>38966.459999999992</v>
          </cell>
        </row>
        <row r="7">
          <cell r="E7">
            <v>1700</v>
          </cell>
        </row>
        <row r="8">
          <cell r="E8">
            <v>20028.54</v>
          </cell>
        </row>
        <row r="9">
          <cell r="E9">
            <v>1752.35</v>
          </cell>
        </row>
        <row r="10">
          <cell r="E10">
            <v>597919</v>
          </cell>
        </row>
        <row r="11">
          <cell r="E11">
            <v>38.800000000000182</v>
          </cell>
        </row>
        <row r="12">
          <cell r="E12">
            <v>8654.5600000000013</v>
          </cell>
        </row>
        <row r="13">
          <cell r="E13">
            <v>968136.01</v>
          </cell>
        </row>
        <row r="14">
          <cell r="E14">
            <v>388561</v>
          </cell>
        </row>
        <row r="16">
          <cell r="E16">
            <v>2025756.7200000002</v>
          </cell>
        </row>
        <row r="25">
          <cell r="E25">
            <v>2632480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ปี"/>
      <sheetName val="รายรับ60"/>
      <sheetName val="17 กพ"/>
      <sheetName val="17กพ"/>
      <sheetName val="30 มิย"/>
      <sheetName val="30 กย"/>
      <sheetName val="Sheet1"/>
      <sheetName val="Sheet2"/>
      <sheetName val="จ่ายจริง"/>
      <sheetName val="Sheet4"/>
    </sheetNames>
    <sheetDataSet>
      <sheetData sheetId="0">
        <row r="9">
          <cell r="S9">
            <v>695520</v>
          </cell>
        </row>
        <row r="10">
          <cell r="S10">
            <v>120000</v>
          </cell>
        </row>
        <row r="11">
          <cell r="S11">
            <v>120000</v>
          </cell>
        </row>
        <row r="12">
          <cell r="S12">
            <v>198720</v>
          </cell>
        </row>
        <row r="13">
          <cell r="S13">
            <v>1490400</v>
          </cell>
        </row>
        <row r="15">
          <cell r="S15">
            <v>2470229</v>
          </cell>
        </row>
        <row r="16">
          <cell r="S16">
            <v>110700</v>
          </cell>
        </row>
        <row r="17">
          <cell r="S17">
            <v>158000</v>
          </cell>
        </row>
        <row r="18">
          <cell r="S18">
            <v>930379</v>
          </cell>
        </row>
        <row r="19">
          <cell r="S19">
            <v>103795</v>
          </cell>
        </row>
        <row r="22">
          <cell r="S22">
            <v>0</v>
          </cell>
        </row>
        <row r="23">
          <cell r="S23">
            <v>262230</v>
          </cell>
        </row>
        <row r="24">
          <cell r="S24">
            <v>0</v>
          </cell>
        </row>
        <row r="25">
          <cell r="S25">
            <v>10100</v>
          </cell>
        </row>
        <row r="26">
          <cell r="S26">
            <v>0</v>
          </cell>
        </row>
        <row r="27">
          <cell r="S27">
            <v>36000</v>
          </cell>
        </row>
        <row r="28">
          <cell r="S28">
            <v>45365</v>
          </cell>
        </row>
        <row r="30">
          <cell r="S30">
            <v>1045576.94</v>
          </cell>
        </row>
        <row r="32">
          <cell r="S32">
            <v>6930</v>
          </cell>
        </row>
        <row r="33">
          <cell r="S33">
            <v>4845</v>
          </cell>
        </row>
        <row r="36">
          <cell r="S36">
            <v>0</v>
          </cell>
        </row>
        <row r="37">
          <cell r="S37">
            <v>51127.1</v>
          </cell>
        </row>
        <row r="38">
          <cell r="S38">
            <v>0</v>
          </cell>
        </row>
        <row r="39">
          <cell r="S39">
            <v>2800</v>
          </cell>
        </row>
        <row r="40">
          <cell r="S40">
            <v>0</v>
          </cell>
        </row>
        <row r="41">
          <cell r="S41">
            <v>20415</v>
          </cell>
        </row>
        <row r="42">
          <cell r="S42">
            <v>0</v>
          </cell>
        </row>
        <row r="43">
          <cell r="S43">
            <v>74700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19150</v>
          </cell>
        </row>
        <row r="49">
          <cell r="S49">
            <v>17670</v>
          </cell>
        </row>
        <row r="50">
          <cell r="S50">
            <v>320205</v>
          </cell>
        </row>
        <row r="51">
          <cell r="S51">
            <v>38950</v>
          </cell>
        </row>
        <row r="52">
          <cell r="S52">
            <v>24118</v>
          </cell>
        </row>
        <row r="53">
          <cell r="S53">
            <v>96572.83</v>
          </cell>
        </row>
        <row r="56">
          <cell r="S56">
            <v>53601</v>
          </cell>
        </row>
        <row r="57">
          <cell r="S57">
            <v>22515</v>
          </cell>
        </row>
        <row r="58">
          <cell r="S58">
            <v>4020</v>
          </cell>
        </row>
        <row r="59">
          <cell r="S59">
            <v>0</v>
          </cell>
        </row>
        <row r="60">
          <cell r="S60">
            <v>28100</v>
          </cell>
        </row>
        <row r="61">
          <cell r="S61">
            <v>75362.350000000006</v>
          </cell>
        </row>
        <row r="62">
          <cell r="S62">
            <v>220610</v>
          </cell>
        </row>
        <row r="63">
          <cell r="S63">
            <v>11370</v>
          </cell>
        </row>
        <row r="64">
          <cell r="S64">
            <v>12380</v>
          </cell>
        </row>
        <row r="66">
          <cell r="S66">
            <v>245895.04000000004</v>
          </cell>
        </row>
        <row r="67">
          <cell r="S67">
            <v>0</v>
          </cell>
        </row>
        <row r="68">
          <cell r="S68">
            <v>24908.11</v>
          </cell>
        </row>
        <row r="69">
          <cell r="S69">
            <v>13228</v>
          </cell>
        </row>
        <row r="70">
          <cell r="S70">
            <v>29592.599999999995</v>
          </cell>
        </row>
        <row r="73">
          <cell r="S73">
            <v>3500</v>
          </cell>
        </row>
        <row r="74">
          <cell r="S74">
            <v>11000</v>
          </cell>
        </row>
        <row r="76">
          <cell r="S76">
            <v>15990</v>
          </cell>
        </row>
        <row r="77">
          <cell r="S77">
            <v>21980</v>
          </cell>
        </row>
        <row r="78">
          <cell r="S78">
            <v>7690</v>
          </cell>
        </row>
        <row r="79">
          <cell r="S79">
            <v>4290</v>
          </cell>
        </row>
        <row r="80">
          <cell r="S80">
            <v>5580</v>
          </cell>
        </row>
        <row r="82">
          <cell r="S82">
            <v>16700</v>
          </cell>
        </row>
        <row r="84">
          <cell r="S84">
            <v>587000</v>
          </cell>
        </row>
        <row r="85">
          <cell r="S85">
            <v>48724</v>
          </cell>
        </row>
        <row r="88">
          <cell r="S88">
            <v>104500</v>
          </cell>
        </row>
        <row r="90">
          <cell r="S90">
            <v>28600</v>
          </cell>
        </row>
        <row r="93">
          <cell r="S93">
            <v>30000</v>
          </cell>
        </row>
        <row r="95">
          <cell r="S95">
            <v>10000</v>
          </cell>
        </row>
        <row r="99">
          <cell r="S99">
            <v>1128472</v>
          </cell>
        </row>
        <row r="100">
          <cell r="S100">
            <v>60000</v>
          </cell>
        </row>
        <row r="101">
          <cell r="S101">
            <v>258979</v>
          </cell>
        </row>
        <row r="102">
          <cell r="S102">
            <v>19795</v>
          </cell>
        </row>
        <row r="105">
          <cell r="S105">
            <v>116710</v>
          </cell>
        </row>
        <row r="106">
          <cell r="S106">
            <v>0</v>
          </cell>
        </row>
        <row r="107">
          <cell r="S107">
            <v>15800</v>
          </cell>
        </row>
        <row r="109">
          <cell r="S109">
            <v>202798</v>
          </cell>
        </row>
        <row r="112">
          <cell r="S112">
            <v>6198</v>
          </cell>
        </row>
        <row r="113">
          <cell r="S113">
            <v>9300</v>
          </cell>
        </row>
        <row r="114">
          <cell r="S114">
            <v>4511</v>
          </cell>
        </row>
        <row r="115">
          <cell r="S115">
            <v>4520</v>
          </cell>
        </row>
        <row r="117">
          <cell r="S117">
            <v>39574.050000000003</v>
          </cell>
        </row>
        <row r="118">
          <cell r="S118">
            <v>0</v>
          </cell>
        </row>
        <row r="121">
          <cell r="S121">
            <v>11000</v>
          </cell>
        </row>
        <row r="123">
          <cell r="S123">
            <v>20990</v>
          </cell>
        </row>
        <row r="128">
          <cell r="S128">
            <v>272460</v>
          </cell>
        </row>
        <row r="129">
          <cell r="S129">
            <v>117360</v>
          </cell>
        </row>
        <row r="130">
          <cell r="S130">
            <v>24000</v>
          </cell>
        </row>
        <row r="133">
          <cell r="S133">
            <v>32700</v>
          </cell>
        </row>
        <row r="134">
          <cell r="S134">
            <v>0</v>
          </cell>
        </row>
        <row r="135">
          <cell r="S135">
            <v>36000</v>
          </cell>
        </row>
        <row r="138">
          <cell r="S138">
            <v>155450</v>
          </cell>
        </row>
        <row r="141">
          <cell r="S141">
            <v>0</v>
          </cell>
        </row>
        <row r="142">
          <cell r="S142">
            <v>0</v>
          </cell>
        </row>
        <row r="143">
          <cell r="S143">
            <v>0</v>
          </cell>
        </row>
        <row r="145">
          <cell r="S145">
            <v>20000</v>
          </cell>
        </row>
        <row r="146">
          <cell r="S146">
            <v>69950</v>
          </cell>
        </row>
        <row r="149">
          <cell r="S149">
            <v>14000</v>
          </cell>
        </row>
        <row r="151">
          <cell r="S151">
            <v>15990</v>
          </cell>
        </row>
        <row r="152">
          <cell r="S152">
            <v>7690</v>
          </cell>
        </row>
        <row r="158">
          <cell r="S158">
            <v>295138</v>
          </cell>
        </row>
        <row r="161">
          <cell r="S161">
            <v>40300</v>
          </cell>
        </row>
        <row r="162">
          <cell r="S162">
            <v>20000</v>
          </cell>
        </row>
        <row r="163">
          <cell r="S163">
            <v>36900</v>
          </cell>
        </row>
        <row r="164">
          <cell r="S164">
            <v>19816</v>
          </cell>
        </row>
        <row r="165">
          <cell r="S165">
            <v>93050</v>
          </cell>
        </row>
        <row r="170">
          <cell r="S170">
            <v>529780</v>
          </cell>
        </row>
        <row r="171">
          <cell r="S171">
            <v>42000</v>
          </cell>
        </row>
        <row r="172">
          <cell r="S172">
            <v>0</v>
          </cell>
        </row>
        <row r="173">
          <cell r="S173">
            <v>0</v>
          </cell>
        </row>
        <row r="176">
          <cell r="S176">
            <v>50830</v>
          </cell>
        </row>
        <row r="177">
          <cell r="S177">
            <v>0</v>
          </cell>
        </row>
        <row r="180">
          <cell r="S180">
            <v>0</v>
          </cell>
        </row>
        <row r="183">
          <cell r="S183">
            <v>20790</v>
          </cell>
        </row>
        <row r="184">
          <cell r="S184">
            <v>40270</v>
          </cell>
        </row>
        <row r="185">
          <cell r="S185">
            <v>25950</v>
          </cell>
        </row>
        <row r="186">
          <cell r="S186">
            <v>2580</v>
          </cell>
        </row>
        <row r="188">
          <cell r="S188">
            <v>18201</v>
          </cell>
        </row>
        <row r="189">
          <cell r="S189">
            <v>12550</v>
          </cell>
        </row>
        <row r="192">
          <cell r="S192">
            <v>15990</v>
          </cell>
        </row>
        <row r="196">
          <cell r="S196">
            <v>1724781</v>
          </cell>
        </row>
        <row r="197">
          <cell r="S197">
            <v>83774</v>
          </cell>
        </row>
        <row r="198">
          <cell r="S198">
            <v>353640</v>
          </cell>
        </row>
        <row r="199">
          <cell r="S199">
            <v>60000</v>
          </cell>
        </row>
        <row r="202">
          <cell r="S202">
            <v>161440</v>
          </cell>
        </row>
        <row r="203">
          <cell r="S203">
            <v>0</v>
          </cell>
        </row>
        <row r="206">
          <cell r="S206">
            <v>253200</v>
          </cell>
        </row>
        <row r="207">
          <cell r="S207">
            <v>482600</v>
          </cell>
        </row>
        <row r="210">
          <cell r="S210">
            <v>822220</v>
          </cell>
        </row>
        <row r="211">
          <cell r="S211">
            <v>218900</v>
          </cell>
        </row>
        <row r="213">
          <cell r="S213">
            <v>671910.16</v>
          </cell>
        </row>
        <row r="214">
          <cell r="S214">
            <v>0</v>
          </cell>
        </row>
        <row r="215">
          <cell r="S215">
            <v>0</v>
          </cell>
        </row>
        <row r="216">
          <cell r="S216">
            <v>0</v>
          </cell>
        </row>
        <row r="220">
          <cell r="S220">
            <v>165300</v>
          </cell>
        </row>
        <row r="222">
          <cell r="S222">
            <v>69900</v>
          </cell>
        </row>
        <row r="225">
          <cell r="S225">
            <v>968000</v>
          </cell>
        </row>
        <row r="226">
          <cell r="S226">
            <v>0</v>
          </cell>
        </row>
        <row r="230">
          <cell r="S230">
            <v>80000</v>
          </cell>
        </row>
        <row r="234">
          <cell r="S234">
            <v>27180</v>
          </cell>
        </row>
        <row r="253">
          <cell r="S253">
            <v>0</v>
          </cell>
        </row>
        <row r="254">
          <cell r="S254">
            <v>12000</v>
          </cell>
        </row>
        <row r="255">
          <cell r="S255">
            <v>0</v>
          </cell>
        </row>
        <row r="263">
          <cell r="S263">
            <v>53000</v>
          </cell>
        </row>
        <row r="266">
          <cell r="S266">
            <v>30000</v>
          </cell>
        </row>
        <row r="268">
          <cell r="S268">
            <v>10000</v>
          </cell>
        </row>
        <row r="275">
          <cell r="S275">
            <v>30240</v>
          </cell>
        </row>
        <row r="276">
          <cell r="S276">
            <v>41220</v>
          </cell>
        </row>
        <row r="277">
          <cell r="S277">
            <v>46650</v>
          </cell>
        </row>
        <row r="278">
          <cell r="S278">
            <v>29970</v>
          </cell>
        </row>
        <row r="283">
          <cell r="S283">
            <v>1048937</v>
          </cell>
        </row>
        <row r="284">
          <cell r="S284">
            <v>60000</v>
          </cell>
        </row>
        <row r="285">
          <cell r="S285">
            <v>135240</v>
          </cell>
        </row>
        <row r="286">
          <cell r="S286">
            <v>24000</v>
          </cell>
        </row>
        <row r="289">
          <cell r="S289">
            <v>111360</v>
          </cell>
        </row>
        <row r="290">
          <cell r="S290">
            <v>0</v>
          </cell>
        </row>
        <row r="291">
          <cell r="S291">
            <v>33000</v>
          </cell>
        </row>
        <row r="292">
          <cell r="S292">
            <v>18432</v>
          </cell>
        </row>
        <row r="294">
          <cell r="S294">
            <v>7600</v>
          </cell>
        </row>
        <row r="297">
          <cell r="S297">
            <v>0</v>
          </cell>
        </row>
        <row r="298">
          <cell r="S298">
            <v>0</v>
          </cell>
        </row>
        <row r="299">
          <cell r="S299">
            <v>0</v>
          </cell>
        </row>
        <row r="301">
          <cell r="S301">
            <v>8541</v>
          </cell>
        </row>
        <row r="302">
          <cell r="S302">
            <v>79810</v>
          </cell>
        </row>
        <row r="303">
          <cell r="S303">
            <v>25535</v>
          </cell>
        </row>
        <row r="304">
          <cell r="S304">
            <v>18845</v>
          </cell>
        </row>
        <row r="307">
          <cell r="S307">
            <v>7000</v>
          </cell>
        </row>
        <row r="309">
          <cell r="S309">
            <v>3990</v>
          </cell>
        </row>
        <row r="311">
          <cell r="S311">
            <v>9600</v>
          </cell>
        </row>
        <row r="315">
          <cell r="S315">
            <v>94000</v>
          </cell>
        </row>
        <row r="316">
          <cell r="S316">
            <v>107000</v>
          </cell>
        </row>
        <row r="317">
          <cell r="S317">
            <v>0</v>
          </cell>
        </row>
        <row r="318">
          <cell r="S318">
            <v>126500</v>
          </cell>
        </row>
        <row r="319">
          <cell r="S319">
            <v>32000</v>
          </cell>
        </row>
        <row r="320">
          <cell r="S320">
            <v>84000</v>
          </cell>
        </row>
        <row r="321">
          <cell r="S321">
            <v>298500</v>
          </cell>
        </row>
        <row r="322">
          <cell r="S322">
            <v>115000</v>
          </cell>
        </row>
        <row r="323">
          <cell r="S323">
            <v>75500</v>
          </cell>
        </row>
        <row r="324">
          <cell r="S324">
            <v>68000</v>
          </cell>
        </row>
        <row r="325">
          <cell r="S325">
            <v>54000</v>
          </cell>
        </row>
        <row r="326">
          <cell r="S326">
            <v>84000</v>
          </cell>
        </row>
        <row r="327">
          <cell r="S327">
            <v>89500</v>
          </cell>
        </row>
        <row r="332">
          <cell r="S332">
            <v>1929800</v>
          </cell>
        </row>
        <row r="339">
          <cell r="S339">
            <v>10118</v>
          </cell>
        </row>
        <row r="340">
          <cell r="S340">
            <v>39650</v>
          </cell>
        </row>
        <row r="341">
          <cell r="S341">
            <v>37970</v>
          </cell>
        </row>
        <row r="342">
          <cell r="S342">
            <v>0</v>
          </cell>
        </row>
        <row r="343">
          <cell r="S343">
            <v>0</v>
          </cell>
        </row>
        <row r="346">
          <cell r="S346">
            <v>20000</v>
          </cell>
        </row>
        <row r="348">
          <cell r="S348">
            <v>15000</v>
          </cell>
        </row>
        <row r="349">
          <cell r="S349">
            <v>15000</v>
          </cell>
        </row>
        <row r="350">
          <cell r="S350">
            <v>15000</v>
          </cell>
        </row>
        <row r="351">
          <cell r="S351">
            <v>15000</v>
          </cell>
        </row>
        <row r="352">
          <cell r="S352">
            <v>15000</v>
          </cell>
        </row>
        <row r="353">
          <cell r="S353">
            <v>15000</v>
          </cell>
        </row>
        <row r="354">
          <cell r="S354">
            <v>0</v>
          </cell>
        </row>
        <row r="361">
          <cell r="S361">
            <v>0</v>
          </cell>
        </row>
        <row r="362">
          <cell r="S362">
            <v>0</v>
          </cell>
        </row>
        <row r="363">
          <cell r="S363">
            <v>0</v>
          </cell>
        </row>
        <row r="364">
          <cell r="S364">
            <v>30000</v>
          </cell>
        </row>
        <row r="372">
          <cell r="S372">
            <v>20000</v>
          </cell>
        </row>
        <row r="373">
          <cell r="S373">
            <v>46960</v>
          </cell>
        </row>
        <row r="374">
          <cell r="S374">
            <v>28700</v>
          </cell>
        </row>
        <row r="375">
          <cell r="S375">
            <v>15850</v>
          </cell>
        </row>
        <row r="376">
          <cell r="S376">
            <v>16366</v>
          </cell>
        </row>
        <row r="380">
          <cell r="S380">
            <v>0</v>
          </cell>
        </row>
        <row r="381">
          <cell r="S381">
            <v>15000</v>
          </cell>
        </row>
        <row r="382">
          <cell r="S382">
            <v>10000</v>
          </cell>
        </row>
        <row r="384">
          <cell r="S384">
            <v>0</v>
          </cell>
        </row>
        <row r="385">
          <cell r="S385">
            <v>0</v>
          </cell>
        </row>
        <row r="387">
          <cell r="S387">
            <v>10000</v>
          </cell>
        </row>
        <row r="388">
          <cell r="S388">
            <v>15000</v>
          </cell>
        </row>
        <row r="389">
          <cell r="S389">
            <v>10000</v>
          </cell>
        </row>
        <row r="390">
          <cell r="S390">
            <v>0</v>
          </cell>
        </row>
        <row r="396">
          <cell r="S396">
            <v>92000</v>
          </cell>
        </row>
        <row r="397">
          <cell r="S397">
            <v>20000</v>
          </cell>
        </row>
        <row r="398">
          <cell r="S398">
            <v>470000</v>
          </cell>
        </row>
        <row r="399">
          <cell r="S399">
            <v>134000</v>
          </cell>
        </row>
        <row r="400">
          <cell r="S400">
            <v>75000</v>
          </cell>
        </row>
        <row r="401">
          <cell r="S401">
            <v>392000</v>
          </cell>
        </row>
        <row r="402">
          <cell r="S402">
            <v>0</v>
          </cell>
        </row>
        <row r="403">
          <cell r="S403">
            <v>2420</v>
          </cell>
        </row>
        <row r="408">
          <cell r="S408">
            <v>308640</v>
          </cell>
        </row>
        <row r="411">
          <cell r="S411">
            <v>25970</v>
          </cell>
        </row>
        <row r="412">
          <cell r="S412">
            <v>0</v>
          </cell>
        </row>
        <row r="413">
          <cell r="S413">
            <v>36000</v>
          </cell>
        </row>
        <row r="414">
          <cell r="S414">
            <v>1750</v>
          </cell>
        </row>
        <row r="417">
          <cell r="S417">
            <v>8000</v>
          </cell>
        </row>
        <row r="420">
          <cell r="S420">
            <v>18000</v>
          </cell>
        </row>
        <row r="421">
          <cell r="S421">
            <v>18100</v>
          </cell>
        </row>
        <row r="422">
          <cell r="S422">
            <v>15220</v>
          </cell>
        </row>
        <row r="423">
          <cell r="S423">
            <v>16390</v>
          </cell>
        </row>
        <row r="424">
          <cell r="S424">
            <v>24160</v>
          </cell>
        </row>
        <row r="426">
          <cell r="S426">
            <v>0</v>
          </cell>
        </row>
        <row r="427">
          <cell r="S427">
            <v>43280</v>
          </cell>
        </row>
        <row r="428">
          <cell r="S428">
            <v>0</v>
          </cell>
        </row>
        <row r="431">
          <cell r="S431">
            <v>7000</v>
          </cell>
        </row>
        <row r="435">
          <cell r="S435">
            <v>100964</v>
          </cell>
        </row>
        <row r="436">
          <cell r="S436">
            <v>84000</v>
          </cell>
        </row>
        <row r="437">
          <cell r="S437">
            <v>6693600</v>
          </cell>
        </row>
        <row r="438">
          <cell r="S438">
            <v>1495200</v>
          </cell>
        </row>
        <row r="439">
          <cell r="S439">
            <v>10308</v>
          </cell>
        </row>
        <row r="441">
          <cell r="S441">
            <v>200000</v>
          </cell>
        </row>
        <row r="442">
          <cell r="S442">
            <v>33730.92</v>
          </cell>
        </row>
        <row r="443">
          <cell r="S443">
            <v>100000</v>
          </cell>
        </row>
        <row r="445">
          <cell r="S445">
            <v>408122.2</v>
          </cell>
        </row>
        <row r="468">
          <cell r="C468">
            <v>9463700</v>
          </cell>
        </row>
        <row r="469">
          <cell r="C469">
            <v>2624640</v>
          </cell>
        </row>
        <row r="470">
          <cell r="C470">
            <v>10962770</v>
          </cell>
        </row>
        <row r="471">
          <cell r="C471">
            <v>1175520</v>
          </cell>
        </row>
        <row r="472">
          <cell r="C472">
            <v>8316430</v>
          </cell>
        </row>
        <row r="473">
          <cell r="C473">
            <v>1869400</v>
          </cell>
        </row>
        <row r="474">
          <cell r="C474">
            <v>390000</v>
          </cell>
        </row>
        <row r="475">
          <cell r="C475">
            <v>1503000</v>
          </cell>
        </row>
        <row r="476">
          <cell r="C476">
            <v>55000</v>
          </cell>
        </row>
        <row r="477">
          <cell r="C477">
            <v>951300</v>
          </cell>
        </row>
        <row r="478">
          <cell r="C478">
            <v>3299900</v>
          </cell>
        </row>
        <row r="482">
          <cell r="C482">
            <v>946000</v>
          </cell>
        </row>
        <row r="483">
          <cell r="C483">
            <v>538110</v>
          </cell>
        </row>
        <row r="484">
          <cell r="C484">
            <v>400000</v>
          </cell>
        </row>
        <row r="485">
          <cell r="C485">
            <v>30000</v>
          </cell>
        </row>
        <row r="487">
          <cell r="C487">
            <v>18492000</v>
          </cell>
        </row>
        <row r="488">
          <cell r="C488">
            <v>20207000</v>
          </cell>
        </row>
      </sheetData>
      <sheetData sheetId="1"/>
      <sheetData sheetId="2"/>
      <sheetData sheetId="3"/>
      <sheetData sheetId="4"/>
      <sheetData sheetId="5">
        <row r="36">
          <cell r="D36">
            <v>553647.61000000685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สจ่าย"/>
      <sheetName val="งสรับ"/>
      <sheetName val="ทะเบียนรายรับ"/>
      <sheetName val="Sheet1"/>
      <sheetName val="ย.เงินฝาก"/>
      <sheetName val="ย.รายจ่าย"/>
      <sheetName val="ลูกหนี้เงินยืม"/>
      <sheetName val="ย.เงินรับฝาก"/>
      <sheetName val="ย.รายรับ"/>
      <sheetName val="ย.ภาษีจัดสรร"/>
      <sheetName val="ย.เงินอุดหนุ"/>
      <sheetName val="ย.รอจ่ายค้างจ่าย"/>
    </sheetNames>
    <sheetDataSet>
      <sheetData sheetId="0"/>
      <sheetData sheetId="1"/>
      <sheetData sheetId="2">
        <row r="451">
          <cell r="H451">
            <v>1150317.6000000001</v>
          </cell>
          <cell r="AD451">
            <v>634486.80000000005</v>
          </cell>
          <cell r="AI451">
            <v>251980.50999999998</v>
          </cell>
          <cell r="AP451">
            <v>102975</v>
          </cell>
          <cell r="BA451">
            <v>18777513.000000004</v>
          </cell>
          <cell r="BS451">
            <v>16071485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แสดงฐานะการเงิน"/>
      <sheetName val="หมายเหตุ1"/>
      <sheetName val="หมายเหตุ2"/>
      <sheetName val="หมายเหตุ3-5"/>
      <sheetName val="หมายเหตุ6"/>
      <sheetName val="หมายเหตุ 7"/>
      <sheetName val="หมายเหตุ8"/>
      <sheetName val="หมายเหตุ9"/>
      <sheetName val="กบท"/>
      <sheetName val="แนบท้าย 9"/>
      <sheetName val="งบแสดงผลการดำเนินงาน"/>
      <sheetName val="แยกแผนงาน"/>
      <sheetName val="งบแสดงผลฯจ่ายจากเงินสะสม"/>
      <sheetName val="หมายเหตุประกอบผลการดำเนินงาน1-2"/>
      <sheetName val="งบทดลองก่อนปิดบัญชี"/>
      <sheetName val="งบทดลองหลังปิดบัญชี"/>
      <sheetName val="กระดาษทำการ (ปป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ทั้งปี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5">
          <cell r="Q15">
            <v>809903</v>
          </cell>
        </row>
        <row r="88">
          <cell r="D88">
            <v>0</v>
          </cell>
        </row>
        <row r="123">
          <cell r="D123">
            <v>0</v>
          </cell>
          <cell r="F123">
            <v>0</v>
          </cell>
        </row>
        <row r="134">
          <cell r="D134">
            <v>0</v>
          </cell>
          <cell r="F134">
            <v>0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"/>
      <sheetName val="พ.ย."/>
      <sheetName val="ธ.ค."/>
      <sheetName val="ม.ค"/>
      <sheetName val="ก.พ."/>
      <sheetName val="มี.ค."/>
      <sheetName val="เม.ย"/>
      <sheetName val="พ.ค."/>
      <sheetName val="มิ.ย."/>
      <sheetName val="ก.ค."/>
      <sheetName val="ส.ค."/>
      <sheetName val="ก.ย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C15">
            <v>0</v>
          </cell>
        </row>
      </sheetData>
      <sheetData sheetId="10">
        <row r="11">
          <cell r="C11">
            <v>1598015.75</v>
          </cell>
        </row>
        <row r="12">
          <cell r="C12">
            <v>30400</v>
          </cell>
        </row>
        <row r="13">
          <cell r="C13">
            <v>158.65</v>
          </cell>
        </row>
        <row r="16">
          <cell r="C16">
            <v>189500</v>
          </cell>
        </row>
        <row r="20">
          <cell r="D20">
            <v>10260522.569999998</v>
          </cell>
        </row>
        <row r="21">
          <cell r="D21">
            <v>8973074.2799999993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7"/>
  <sheetViews>
    <sheetView workbookViewId="0">
      <selection activeCell="G11" sqref="G11"/>
    </sheetView>
  </sheetViews>
  <sheetFormatPr defaultRowHeight="20.25" x14ac:dyDescent="0.3"/>
  <cols>
    <col min="1" max="1" width="5.7109375" style="2" customWidth="1"/>
    <col min="2" max="2" width="6.7109375" style="2" customWidth="1"/>
    <col min="3" max="3" width="53.85546875" style="2" customWidth="1"/>
    <col min="4" max="4" width="10" style="7" customWidth="1"/>
    <col min="5" max="5" width="21.140625" style="2" customWidth="1"/>
    <col min="6" max="6" width="9.140625" style="2"/>
    <col min="7" max="7" width="25" style="2" customWidth="1"/>
    <col min="8" max="9" width="9.140625" style="2"/>
    <col min="10" max="10" width="15.28515625" style="2" bestFit="1" customWidth="1"/>
    <col min="11" max="16384" width="9.140625" style="2"/>
  </cols>
  <sheetData>
    <row r="1" spans="1:5" ht="23.25" x14ac:dyDescent="0.35">
      <c r="A1" s="483" t="s">
        <v>0</v>
      </c>
      <c r="B1" s="483"/>
      <c r="C1" s="483"/>
      <c r="D1" s="483"/>
      <c r="E1" s="483"/>
    </row>
    <row r="2" spans="1:5" ht="23.25" x14ac:dyDescent="0.35">
      <c r="A2" s="483" t="s">
        <v>1</v>
      </c>
      <c r="B2" s="483"/>
      <c r="C2" s="483"/>
      <c r="D2" s="483"/>
      <c r="E2" s="483"/>
    </row>
    <row r="3" spans="1:5" ht="23.25" x14ac:dyDescent="0.35">
      <c r="A3" s="483" t="s">
        <v>457</v>
      </c>
      <c r="B3" s="483"/>
      <c r="C3" s="483"/>
      <c r="D3" s="483"/>
      <c r="E3" s="483"/>
    </row>
    <row r="4" spans="1:5" ht="23.25" x14ac:dyDescent="0.35">
      <c r="A4" s="484" t="s">
        <v>2</v>
      </c>
      <c r="B4" s="485"/>
      <c r="C4" s="485"/>
      <c r="D4" s="485"/>
      <c r="E4" s="485"/>
    </row>
    <row r="5" spans="1:5" ht="23.25" x14ac:dyDescent="0.35">
      <c r="A5" s="3"/>
      <c r="B5" s="4"/>
      <c r="C5" s="4"/>
      <c r="D5" s="5" t="s">
        <v>6</v>
      </c>
      <c r="E5" s="4"/>
    </row>
    <row r="6" spans="1:5" ht="21" thickBot="1" x14ac:dyDescent="0.35">
      <c r="A6" s="6" t="s">
        <v>306</v>
      </c>
      <c r="B6" s="6"/>
      <c r="D6" s="7">
        <v>2</v>
      </c>
      <c r="E6" s="8">
        <f>หมายเหตุ2!C30</f>
        <v>29591399</v>
      </c>
    </row>
    <row r="7" spans="1:5" ht="21" thickTop="1" x14ac:dyDescent="0.3">
      <c r="A7" s="6" t="s">
        <v>7</v>
      </c>
      <c r="B7" s="6"/>
      <c r="E7" s="9"/>
    </row>
    <row r="8" spans="1:5" x14ac:dyDescent="0.3">
      <c r="A8" s="6"/>
      <c r="B8" s="6" t="s">
        <v>8</v>
      </c>
      <c r="E8" s="9"/>
    </row>
    <row r="9" spans="1:5" x14ac:dyDescent="0.3">
      <c r="C9" s="2" t="s">
        <v>3</v>
      </c>
      <c r="D9" s="7">
        <v>3</v>
      </c>
      <c r="E9" s="9">
        <f>'หมายเหตุ3-5'!G13</f>
        <v>22166688.440000001</v>
      </c>
    </row>
    <row r="10" spans="1:5" x14ac:dyDescent="0.3">
      <c r="C10" s="2" t="s">
        <v>9</v>
      </c>
      <c r="E10" s="10"/>
    </row>
    <row r="11" spans="1:5" x14ac:dyDescent="0.3">
      <c r="C11" s="2" t="s">
        <v>10</v>
      </c>
      <c r="E11" s="10">
        <v>1598015.75</v>
      </c>
    </row>
    <row r="12" spans="1:5" x14ac:dyDescent="0.3">
      <c r="C12" s="2" t="s">
        <v>4</v>
      </c>
      <c r="E12" s="10"/>
    </row>
    <row r="13" spans="1:5" x14ac:dyDescent="0.3">
      <c r="C13" s="2" t="s">
        <v>11</v>
      </c>
      <c r="D13" s="7">
        <v>4</v>
      </c>
      <c r="E13" s="10">
        <f>'หมายเหตุ3-5'!G20</f>
        <v>491400</v>
      </c>
    </row>
    <row r="14" spans="1:5" x14ac:dyDescent="0.3">
      <c r="C14" s="2" t="s">
        <v>12</v>
      </c>
      <c r="D14" s="7">
        <v>5</v>
      </c>
      <c r="E14" s="10">
        <f>'หมายเหตุ3-5'!G29</f>
        <v>126.35</v>
      </c>
    </row>
    <row r="15" spans="1:5" x14ac:dyDescent="0.3">
      <c r="C15" s="2" t="s">
        <v>13</v>
      </c>
      <c r="E15" s="10">
        <v>0</v>
      </c>
    </row>
    <row r="16" spans="1:5" x14ac:dyDescent="0.3">
      <c r="C16" s="2" t="s">
        <v>14</v>
      </c>
      <c r="D16" s="7">
        <v>6</v>
      </c>
      <c r="E16" s="10">
        <f>หมายเหตุ6!Q119</f>
        <v>189500</v>
      </c>
    </row>
    <row r="17" spans="1:7" x14ac:dyDescent="0.3">
      <c r="C17" s="2" t="s">
        <v>15</v>
      </c>
      <c r="E17" s="10"/>
    </row>
    <row r="18" spans="1:7" x14ac:dyDescent="0.3">
      <c r="C18" s="2" t="s">
        <v>4</v>
      </c>
      <c r="E18" s="10"/>
    </row>
    <row r="19" spans="1:7" x14ac:dyDescent="0.3">
      <c r="C19" s="2" t="s">
        <v>16</v>
      </c>
      <c r="E19" s="10"/>
    </row>
    <row r="20" spans="1:7" x14ac:dyDescent="0.3">
      <c r="C20" s="6" t="s">
        <v>17</v>
      </c>
      <c r="E20" s="11">
        <f>SUM(E9:E19)</f>
        <v>24445730.540000003</v>
      </c>
    </row>
    <row r="21" spans="1:7" x14ac:dyDescent="0.3">
      <c r="B21" s="6" t="s">
        <v>18</v>
      </c>
      <c r="C21" s="6"/>
      <c r="E21" s="10"/>
    </row>
    <row r="22" spans="1:7" x14ac:dyDescent="0.3">
      <c r="C22" s="2" t="s">
        <v>19</v>
      </c>
      <c r="E22" s="10">
        <v>0</v>
      </c>
    </row>
    <row r="23" spans="1:7" x14ac:dyDescent="0.3">
      <c r="C23" s="2" t="s">
        <v>20</v>
      </c>
      <c r="E23" s="10">
        <v>0</v>
      </c>
    </row>
    <row r="24" spans="1:7" x14ac:dyDescent="0.3">
      <c r="C24" s="2" t="s">
        <v>21</v>
      </c>
      <c r="E24" s="10">
        <v>0</v>
      </c>
    </row>
    <row r="25" spans="1:7" x14ac:dyDescent="0.3">
      <c r="C25" s="2" t="s">
        <v>22</v>
      </c>
      <c r="E25" s="10">
        <f>SUM(E22:E24)</f>
        <v>0</v>
      </c>
    </row>
    <row r="26" spans="1:7" ht="21" thickBot="1" x14ac:dyDescent="0.35">
      <c r="A26" s="6" t="s">
        <v>23</v>
      </c>
      <c r="C26" s="6"/>
      <c r="E26" s="29">
        <f>E20+E25</f>
        <v>24445730.540000003</v>
      </c>
      <c r="G26" s="12">
        <f>E26-E64</f>
        <v>0</v>
      </c>
    </row>
    <row r="27" spans="1:7" s="13" customFormat="1" ht="21" thickTop="1" x14ac:dyDescent="0.3">
      <c r="D27" s="5"/>
      <c r="E27" s="9"/>
    </row>
    <row r="28" spans="1:7" s="13" customFormat="1" x14ac:dyDescent="0.3">
      <c r="A28" s="14" t="s">
        <v>24</v>
      </c>
      <c r="D28" s="5"/>
      <c r="E28" s="9"/>
    </row>
    <row r="29" spans="1:7" s="13" customFormat="1" x14ac:dyDescent="0.3">
      <c r="B29" s="15"/>
      <c r="C29" s="15"/>
      <c r="D29" s="5"/>
      <c r="E29" s="9"/>
    </row>
    <row r="30" spans="1:7" s="13" customFormat="1" x14ac:dyDescent="0.3">
      <c r="B30" s="15"/>
      <c r="C30" s="15"/>
      <c r="D30" s="5"/>
      <c r="E30" s="9"/>
    </row>
    <row r="31" spans="1:7" s="13" customFormat="1" x14ac:dyDescent="0.3">
      <c r="B31" s="15"/>
      <c r="C31" s="15"/>
      <c r="D31" s="5"/>
      <c r="E31" s="9"/>
    </row>
    <row r="32" spans="1:7" s="13" customFormat="1" x14ac:dyDescent="0.3">
      <c r="D32" s="5"/>
      <c r="E32" s="9"/>
    </row>
    <row r="33" spans="1:7" s="13" customFormat="1" x14ac:dyDescent="0.3">
      <c r="D33" s="5"/>
      <c r="E33" s="9"/>
      <c r="G33" s="9"/>
    </row>
    <row r="34" spans="1:7" s="13" customFormat="1" x14ac:dyDescent="0.3">
      <c r="D34" s="5"/>
      <c r="E34" s="9"/>
      <c r="G34" s="9"/>
    </row>
    <row r="35" spans="1:7" s="13" customFormat="1" x14ac:dyDescent="0.3">
      <c r="D35" s="5"/>
      <c r="E35" s="9"/>
      <c r="G35" s="9"/>
    </row>
    <row r="36" spans="1:7" s="13" customFormat="1" x14ac:dyDescent="0.3">
      <c r="D36" s="5"/>
      <c r="E36" s="9"/>
      <c r="G36" s="9"/>
    </row>
    <row r="37" spans="1:7" s="13" customFormat="1" x14ac:dyDescent="0.3">
      <c r="D37" s="5"/>
      <c r="E37" s="9"/>
      <c r="G37" s="9"/>
    </row>
    <row r="38" spans="1:7" s="13" customFormat="1" x14ac:dyDescent="0.3">
      <c r="D38" s="5"/>
      <c r="E38" s="9"/>
      <c r="G38" s="9"/>
    </row>
    <row r="39" spans="1:7" s="13" customFormat="1" x14ac:dyDescent="0.3">
      <c r="D39" s="5"/>
      <c r="E39" s="9"/>
      <c r="G39" s="9"/>
    </row>
    <row r="40" spans="1:7" s="13" customFormat="1" x14ac:dyDescent="0.3">
      <c r="D40" s="5"/>
      <c r="E40" s="9"/>
      <c r="G40" s="9"/>
    </row>
    <row r="41" spans="1:7" s="13" customFormat="1" ht="23.25" x14ac:dyDescent="0.35">
      <c r="A41" s="483" t="s">
        <v>0</v>
      </c>
      <c r="B41" s="483"/>
      <c r="C41" s="483"/>
      <c r="D41" s="483"/>
      <c r="E41" s="483"/>
    </row>
    <row r="42" spans="1:7" s="13" customFormat="1" ht="23.25" x14ac:dyDescent="0.35">
      <c r="A42" s="483" t="s">
        <v>1</v>
      </c>
      <c r="B42" s="483"/>
      <c r="C42" s="483"/>
      <c r="D42" s="483"/>
      <c r="E42" s="483"/>
      <c r="G42" s="16"/>
    </row>
    <row r="43" spans="1:7" s="17" customFormat="1" ht="23.25" x14ac:dyDescent="0.35">
      <c r="A43" s="483" t="s">
        <v>457</v>
      </c>
      <c r="B43" s="483"/>
      <c r="C43" s="483"/>
      <c r="D43" s="483"/>
      <c r="E43" s="483"/>
    </row>
    <row r="44" spans="1:7" ht="23.25" x14ac:dyDescent="0.35">
      <c r="A44" s="484" t="s">
        <v>2</v>
      </c>
      <c r="B44" s="485"/>
      <c r="C44" s="485"/>
      <c r="D44" s="485"/>
      <c r="E44" s="485"/>
    </row>
    <row r="45" spans="1:7" ht="23.25" x14ac:dyDescent="0.35">
      <c r="A45" s="3"/>
      <c r="B45" s="4"/>
      <c r="C45" s="4"/>
      <c r="D45" s="5" t="s">
        <v>6</v>
      </c>
      <c r="E45" s="4"/>
    </row>
    <row r="46" spans="1:7" ht="21" thickBot="1" x14ac:dyDescent="0.35">
      <c r="A46" s="6" t="s">
        <v>306</v>
      </c>
      <c r="B46" s="14"/>
      <c r="C46" s="13"/>
      <c r="D46" s="5">
        <v>2</v>
      </c>
      <c r="E46" s="8">
        <f>หมายเหตุ2!E30</f>
        <v>29591399</v>
      </c>
    </row>
    <row r="47" spans="1:7" ht="21" thickTop="1" x14ac:dyDescent="0.3">
      <c r="A47" s="14" t="s">
        <v>25</v>
      </c>
      <c r="B47" s="14"/>
      <c r="C47" s="13"/>
      <c r="D47" s="5"/>
      <c r="E47" s="18"/>
    </row>
    <row r="48" spans="1:7" x14ac:dyDescent="0.3">
      <c r="A48" s="14"/>
      <c r="B48" s="14" t="s">
        <v>26</v>
      </c>
      <c r="C48" s="13"/>
      <c r="D48" s="5"/>
      <c r="E48" s="18"/>
    </row>
    <row r="49" spans="1:7" x14ac:dyDescent="0.3">
      <c r="A49" s="13"/>
      <c r="B49" s="13"/>
      <c r="C49" s="13" t="s">
        <v>27</v>
      </c>
      <c r="D49" s="5">
        <v>7</v>
      </c>
      <c r="E49" s="19">
        <f>'หมายเหตุ 7'!G21</f>
        <v>2629480</v>
      </c>
    </row>
    <row r="50" spans="1:7" x14ac:dyDescent="0.3">
      <c r="A50" s="13"/>
      <c r="B50" s="13"/>
      <c r="C50" s="13" t="s">
        <v>28</v>
      </c>
      <c r="D50" s="5">
        <v>7</v>
      </c>
      <c r="E50" s="19">
        <f>'หมายเหตุ 7'!$G$32</f>
        <v>3000</v>
      </c>
    </row>
    <row r="51" spans="1:7" x14ac:dyDescent="0.3">
      <c r="A51" s="13"/>
      <c r="B51" s="13"/>
      <c r="C51" s="13" t="s">
        <v>29</v>
      </c>
      <c r="D51" s="5"/>
      <c r="E51" s="19"/>
    </row>
    <row r="52" spans="1:7" x14ac:dyDescent="0.3">
      <c r="A52" s="13"/>
      <c r="B52" s="13"/>
      <c r="C52" s="13" t="s">
        <v>30</v>
      </c>
      <c r="D52" s="5">
        <v>8</v>
      </c>
      <c r="E52" s="19">
        <f>หมายเหตุ8!F13</f>
        <v>2025756.7200000002</v>
      </c>
    </row>
    <row r="53" spans="1:7" x14ac:dyDescent="0.3">
      <c r="A53" s="13"/>
      <c r="B53" s="13"/>
      <c r="C53" s="13" t="s">
        <v>31</v>
      </c>
      <c r="D53" s="5"/>
      <c r="E53" s="18">
        <v>0</v>
      </c>
    </row>
    <row r="54" spans="1:7" x14ac:dyDescent="0.3">
      <c r="A54" s="13"/>
      <c r="B54" s="13"/>
      <c r="C54" s="14" t="s">
        <v>32</v>
      </c>
      <c r="D54" s="5"/>
      <c r="E54" s="20">
        <f>SUM(E49:E53)</f>
        <v>4658236.7200000007</v>
      </c>
    </row>
    <row r="55" spans="1:7" x14ac:dyDescent="0.3">
      <c r="A55" s="13"/>
      <c r="B55" s="14" t="s">
        <v>33</v>
      </c>
      <c r="C55" s="14"/>
      <c r="D55" s="5"/>
      <c r="E55" s="18"/>
    </row>
    <row r="56" spans="1:7" x14ac:dyDescent="0.3">
      <c r="A56" s="13"/>
      <c r="B56" s="13"/>
      <c r="C56" s="13" t="s">
        <v>34</v>
      </c>
      <c r="D56" s="5"/>
      <c r="E56" s="18">
        <v>0</v>
      </c>
    </row>
    <row r="57" spans="1:7" x14ac:dyDescent="0.3">
      <c r="A57" s="13"/>
      <c r="B57" s="13"/>
      <c r="C57" s="13" t="s">
        <v>35</v>
      </c>
      <c r="D57" s="5"/>
      <c r="E57" s="18">
        <v>0</v>
      </c>
    </row>
    <row r="58" spans="1:7" x14ac:dyDescent="0.3">
      <c r="A58" s="13"/>
      <c r="B58" s="14" t="s">
        <v>36</v>
      </c>
      <c r="C58" s="13"/>
      <c r="D58" s="5"/>
      <c r="E58" s="18">
        <f>SUM(E56:E57)</f>
        <v>0</v>
      </c>
    </row>
    <row r="59" spans="1:7" x14ac:dyDescent="0.3">
      <c r="A59" s="13"/>
      <c r="B59" s="14" t="s">
        <v>37</v>
      </c>
      <c r="C59" s="13"/>
      <c r="D59" s="5"/>
      <c r="E59" s="20">
        <f>E54+E58</f>
        <v>4658236.7200000007</v>
      </c>
      <c r="G59" s="12"/>
    </row>
    <row r="60" spans="1:7" x14ac:dyDescent="0.3">
      <c r="A60" s="14" t="s">
        <v>38</v>
      </c>
      <c r="B60" s="13"/>
      <c r="C60" s="13"/>
      <c r="D60" s="5"/>
      <c r="E60" s="18"/>
    </row>
    <row r="61" spans="1:7" x14ac:dyDescent="0.3">
      <c r="A61" s="13"/>
      <c r="B61" s="13" t="s">
        <v>38</v>
      </c>
      <c r="C61" s="13"/>
      <c r="D61" s="5">
        <v>9</v>
      </c>
      <c r="E61" s="19">
        <f>หมายเหตุ9!F15</f>
        <v>10676007.637500005</v>
      </c>
      <c r="G61" s="12"/>
    </row>
    <row r="62" spans="1:7" x14ac:dyDescent="0.3">
      <c r="A62" s="13"/>
      <c r="B62" s="13" t="s">
        <v>5</v>
      </c>
      <c r="C62" s="13"/>
      <c r="D62" s="5"/>
      <c r="E62" s="19">
        <f>งบทดลองหลังปิดบัญชี!D21</f>
        <v>9111486.182500001</v>
      </c>
      <c r="G62" s="12"/>
    </row>
    <row r="63" spans="1:7" x14ac:dyDescent="0.3">
      <c r="A63" s="13"/>
      <c r="B63" s="14" t="s">
        <v>39</v>
      </c>
      <c r="C63" s="13"/>
      <c r="D63" s="5"/>
      <c r="E63" s="20">
        <f>SUM(E61:E62)</f>
        <v>19787493.820000008</v>
      </c>
    </row>
    <row r="64" spans="1:7" ht="21" thickBot="1" x14ac:dyDescent="0.35">
      <c r="A64" s="14" t="s">
        <v>40</v>
      </c>
      <c r="B64" s="13"/>
      <c r="C64" s="13"/>
      <c r="D64" s="5"/>
      <c r="E64" s="21">
        <f>E59+E63</f>
        <v>24445730.540000007</v>
      </c>
      <c r="G64" s="12"/>
    </row>
    <row r="65" spans="1:10" s="13" customFormat="1" ht="21" thickTop="1" x14ac:dyDescent="0.3">
      <c r="D65" s="5"/>
      <c r="E65" s="18"/>
    </row>
    <row r="66" spans="1:10" s="13" customFormat="1" x14ac:dyDescent="0.3">
      <c r="A66" s="14" t="s">
        <v>24</v>
      </c>
      <c r="D66" s="5"/>
      <c r="E66" s="9"/>
      <c r="G66" s="16"/>
      <c r="J66" s="9"/>
    </row>
    <row r="67" spans="1:10" s="13" customFormat="1" x14ac:dyDescent="0.3">
      <c r="D67" s="5"/>
      <c r="E67" s="9"/>
      <c r="G67" s="16"/>
      <c r="J67" s="9"/>
    </row>
    <row r="68" spans="1:10" s="13" customFormat="1" x14ac:dyDescent="0.3">
      <c r="D68" s="5"/>
      <c r="E68" s="9"/>
      <c r="G68" s="16"/>
    </row>
    <row r="69" spans="1:10" s="13" customFormat="1" x14ac:dyDescent="0.3">
      <c r="D69" s="5"/>
      <c r="E69" s="9"/>
      <c r="G69" s="16"/>
    </row>
    <row r="70" spans="1:10" s="13" customFormat="1" x14ac:dyDescent="0.3">
      <c r="D70" s="5"/>
      <c r="E70" s="9"/>
      <c r="G70" s="22"/>
    </row>
    <row r="71" spans="1:10" s="13" customFormat="1" ht="15.75" customHeight="1" x14ac:dyDescent="0.3">
      <c r="D71" s="5"/>
      <c r="E71" s="9"/>
    </row>
    <row r="72" spans="1:10" s="13" customFormat="1" x14ac:dyDescent="0.3">
      <c r="D72" s="5"/>
      <c r="E72" s="9"/>
      <c r="G72" s="16"/>
    </row>
    <row r="73" spans="1:10" s="13" customFormat="1" x14ac:dyDescent="0.3">
      <c r="D73" s="5"/>
      <c r="E73" s="9"/>
    </row>
    <row r="74" spans="1:10" s="13" customFormat="1" x14ac:dyDescent="0.3">
      <c r="D74" s="5"/>
      <c r="E74" s="9"/>
    </row>
    <row r="75" spans="1:10" s="13" customFormat="1" x14ac:dyDescent="0.3">
      <c r="D75" s="5"/>
      <c r="E75" s="23"/>
    </row>
    <row r="76" spans="1:10" x14ac:dyDescent="0.3">
      <c r="B76" s="7"/>
      <c r="C76" s="7"/>
    </row>
    <row r="77" spans="1:10" x14ac:dyDescent="0.3">
      <c r="B77" s="7"/>
      <c r="C77" s="7"/>
    </row>
  </sheetData>
  <mergeCells count="8">
    <mergeCell ref="A42:E42"/>
    <mergeCell ref="A43:E43"/>
    <mergeCell ref="A44:E44"/>
    <mergeCell ref="A1:E1"/>
    <mergeCell ref="A2:E2"/>
    <mergeCell ref="A3:E3"/>
    <mergeCell ref="A4:E4"/>
    <mergeCell ref="A41:E41"/>
  </mergeCells>
  <pageMargins left="0.82" right="0.17" top="0.36" bottom="0.15" header="0.31" footer="0.15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1"/>
  <sheetViews>
    <sheetView topLeftCell="A2" zoomScale="80" zoomScaleNormal="80" workbookViewId="0">
      <selection activeCell="K16" sqref="K16"/>
    </sheetView>
  </sheetViews>
  <sheetFormatPr defaultRowHeight="20.25" x14ac:dyDescent="0.3"/>
  <cols>
    <col min="1" max="1" width="22.42578125" style="63" customWidth="1"/>
    <col min="2" max="2" width="28.7109375" style="63" customWidth="1"/>
    <col min="3" max="3" width="36.140625" style="64" customWidth="1"/>
    <col min="4" max="8" width="24.28515625" style="65" customWidth="1"/>
    <col min="9" max="11" width="9.140625" style="59"/>
    <col min="12" max="12" width="17" style="59" bestFit="1" customWidth="1"/>
    <col min="13" max="16384" width="9.140625" style="59"/>
  </cols>
  <sheetData>
    <row r="1" spans="1:8" s="2" customFormat="1" ht="27.75" customHeight="1" x14ac:dyDescent="0.4">
      <c r="A1" s="490" t="s">
        <v>0</v>
      </c>
      <c r="B1" s="490"/>
      <c r="C1" s="490"/>
      <c r="D1" s="490"/>
      <c r="E1" s="490"/>
      <c r="F1" s="490"/>
      <c r="G1" s="490"/>
      <c r="H1" s="490"/>
    </row>
    <row r="2" spans="1:8" s="2" customFormat="1" ht="27.75" customHeight="1" x14ac:dyDescent="0.4">
      <c r="A2" s="490" t="s">
        <v>68</v>
      </c>
      <c r="B2" s="490"/>
      <c r="C2" s="490"/>
      <c r="D2" s="490"/>
      <c r="E2" s="490"/>
      <c r="F2" s="490"/>
      <c r="G2" s="490"/>
      <c r="H2" s="490"/>
    </row>
    <row r="3" spans="1:8" s="2" customFormat="1" ht="27.75" customHeight="1" x14ac:dyDescent="0.4">
      <c r="A3" s="490" t="s">
        <v>458</v>
      </c>
      <c r="B3" s="490"/>
      <c r="C3" s="490"/>
      <c r="D3" s="490"/>
      <c r="E3" s="490"/>
      <c r="F3" s="490"/>
      <c r="G3" s="490"/>
      <c r="H3" s="490"/>
    </row>
    <row r="4" spans="1:8" s="55" customFormat="1" x14ac:dyDescent="0.3">
      <c r="A4" s="60" t="s">
        <v>456</v>
      </c>
      <c r="B4" s="60"/>
      <c r="C4" s="60"/>
      <c r="D4" s="60"/>
      <c r="E4" s="60"/>
      <c r="F4" s="60"/>
      <c r="G4" s="60"/>
      <c r="H4" s="60"/>
    </row>
    <row r="5" spans="1:8" s="55" customFormat="1" x14ac:dyDescent="0.3">
      <c r="A5" s="519" t="s">
        <v>105</v>
      </c>
      <c r="B5" s="519" t="s">
        <v>106</v>
      </c>
      <c r="C5" s="523" t="s">
        <v>107</v>
      </c>
      <c r="D5" s="521" t="s">
        <v>130</v>
      </c>
      <c r="E5" s="515" t="s">
        <v>92</v>
      </c>
      <c r="F5" s="515" t="s">
        <v>90</v>
      </c>
      <c r="G5" s="515" t="s">
        <v>91</v>
      </c>
      <c r="H5" s="515" t="s">
        <v>131</v>
      </c>
    </row>
    <row r="6" spans="1:8" s="55" customFormat="1" x14ac:dyDescent="0.3">
      <c r="A6" s="520"/>
      <c r="B6" s="520"/>
      <c r="C6" s="523"/>
      <c r="D6" s="522"/>
      <c r="E6" s="515"/>
      <c r="F6" s="515"/>
      <c r="G6" s="515"/>
      <c r="H6" s="515" t="s">
        <v>92</v>
      </c>
    </row>
    <row r="7" spans="1:8" s="55" customFormat="1" x14ac:dyDescent="0.3">
      <c r="A7" s="62" t="s">
        <v>132</v>
      </c>
      <c r="B7" s="62" t="s">
        <v>114</v>
      </c>
      <c r="C7" s="62" t="s">
        <v>316</v>
      </c>
      <c r="D7" s="61">
        <v>279100</v>
      </c>
      <c r="E7" s="61">
        <v>0</v>
      </c>
      <c r="F7" s="61">
        <v>278000</v>
      </c>
      <c r="G7" s="61">
        <f>D7-F7</f>
        <v>1100</v>
      </c>
      <c r="H7" s="61">
        <f>G7</f>
        <v>1100</v>
      </c>
    </row>
    <row r="8" spans="1:8" s="55" customFormat="1" ht="40.5" x14ac:dyDescent="0.3">
      <c r="A8" s="62" t="s">
        <v>132</v>
      </c>
      <c r="B8" s="62" t="s">
        <v>114</v>
      </c>
      <c r="C8" s="62" t="s">
        <v>315</v>
      </c>
      <c r="D8" s="61">
        <v>713000</v>
      </c>
      <c r="E8" s="61">
        <v>0</v>
      </c>
      <c r="F8" s="61">
        <v>710000</v>
      </c>
      <c r="G8" s="61">
        <f>D8-F8</f>
        <v>3000</v>
      </c>
      <c r="H8" s="61">
        <f>G8</f>
        <v>3000</v>
      </c>
    </row>
    <row r="9" spans="1:8" s="55" customFormat="1" ht="40.5" x14ac:dyDescent="0.3">
      <c r="A9" s="62" t="s">
        <v>132</v>
      </c>
      <c r="B9" s="62" t="s">
        <v>114</v>
      </c>
      <c r="C9" s="62" t="s">
        <v>531</v>
      </c>
      <c r="D9" s="61">
        <v>2350000</v>
      </c>
      <c r="E9" s="61">
        <v>1997000</v>
      </c>
      <c r="F9" s="61">
        <v>0</v>
      </c>
      <c r="G9" s="61">
        <f>D9-F9</f>
        <v>2350000</v>
      </c>
      <c r="H9" s="61">
        <f>G9</f>
        <v>2350000</v>
      </c>
    </row>
    <row r="10" spans="1:8" s="55" customFormat="1" ht="60.75" x14ac:dyDescent="0.3">
      <c r="A10" s="62" t="s">
        <v>132</v>
      </c>
      <c r="B10" s="62" t="s">
        <v>114</v>
      </c>
      <c r="C10" s="62" t="s">
        <v>544</v>
      </c>
      <c r="D10" s="482">
        <v>698200</v>
      </c>
      <c r="E10" s="482">
        <v>0</v>
      </c>
      <c r="F10" s="482">
        <v>0</v>
      </c>
      <c r="G10" s="482">
        <f t="shared" ref="G10" si="0">D10-F10</f>
        <v>698200</v>
      </c>
      <c r="H10" s="482">
        <f t="shared" ref="H10" si="1">G10</f>
        <v>698200</v>
      </c>
    </row>
    <row r="11" spans="1:8" s="56" customFormat="1" ht="23.25" customHeight="1" x14ac:dyDescent="0.3">
      <c r="A11" s="516" t="s">
        <v>67</v>
      </c>
      <c r="B11" s="517"/>
      <c r="C11" s="518"/>
      <c r="D11" s="402">
        <f>SUM(D7:D10)</f>
        <v>4040300</v>
      </c>
      <c r="E11" s="402">
        <f>SUM(E7:E10)</f>
        <v>1997000</v>
      </c>
      <c r="F11" s="402">
        <f>SUM(F7:F10)</f>
        <v>988000</v>
      </c>
      <c r="G11" s="402">
        <f>SUM(G7:G10)</f>
        <v>3052300</v>
      </c>
      <c r="H11" s="402">
        <f>SUM(H7:H10)</f>
        <v>3052300</v>
      </c>
    </row>
  </sheetData>
  <mergeCells count="12">
    <mergeCell ref="H5:H6"/>
    <mergeCell ref="A11:C11"/>
    <mergeCell ref="A1:H1"/>
    <mergeCell ref="A2:H2"/>
    <mergeCell ref="A3:H3"/>
    <mergeCell ref="B5:B6"/>
    <mergeCell ref="D5:D6"/>
    <mergeCell ref="G5:G6"/>
    <mergeCell ref="A5:A6"/>
    <mergeCell ref="C5:C6"/>
    <mergeCell ref="E5:E6"/>
    <mergeCell ref="F5:F6"/>
  </mergeCells>
  <pageMargins left="0.62" right="0.12" top="0.70866141732283472" bottom="0.27559055118110237" header="0.31496062992125984" footer="0.55118110236220474"/>
  <pageSetup paperSize="9" scale="70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0"/>
  <sheetViews>
    <sheetView tabSelected="1" topLeftCell="A10" zoomScale="90" zoomScaleNormal="90" workbookViewId="0">
      <pane xSplit="2" topLeftCell="C1" activePane="topRight" state="frozen"/>
      <selection activeCell="A88" sqref="A88"/>
      <selection pane="topRight" activeCell="E31" sqref="E31"/>
    </sheetView>
  </sheetViews>
  <sheetFormatPr defaultRowHeight="20.25" x14ac:dyDescent="0.3"/>
  <cols>
    <col min="1" max="1" width="2.140625" style="66" customWidth="1"/>
    <col min="2" max="2" width="28.42578125" style="66" customWidth="1"/>
    <col min="3" max="4" width="16.7109375" style="75" customWidth="1"/>
    <col min="5" max="5" width="16.140625" style="75" customWidth="1"/>
    <col min="6" max="6" width="16.5703125" style="75" customWidth="1"/>
    <col min="7" max="7" width="16.140625" style="75" customWidth="1"/>
    <col min="8" max="17" width="15.7109375" style="1" customWidth="1"/>
    <col min="18" max="18" width="9.140625" style="66"/>
    <col min="19" max="19" width="16.85546875" style="66" bestFit="1" customWidth="1"/>
    <col min="20" max="20" width="15.7109375" style="66" bestFit="1" customWidth="1"/>
    <col min="21" max="23" width="13.85546875" style="66" bestFit="1" customWidth="1"/>
    <col min="24" max="24" width="15.7109375" style="66" bestFit="1" customWidth="1"/>
    <col min="25" max="26" width="13.85546875" style="66" bestFit="1" customWidth="1"/>
    <col min="27" max="27" width="12.42578125" style="66" bestFit="1" customWidth="1"/>
    <col min="28" max="28" width="15.7109375" style="66" bestFit="1" customWidth="1"/>
    <col min="29" max="16384" width="9.140625" style="66"/>
  </cols>
  <sheetData>
    <row r="1" spans="1:17" ht="23.25" x14ac:dyDescent="0.5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</row>
    <row r="2" spans="1:17" ht="23.25" x14ac:dyDescent="0.5">
      <c r="A2" s="524" t="s">
        <v>163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</row>
    <row r="3" spans="1:17" ht="23.25" x14ac:dyDescent="0.5">
      <c r="A3" s="524" t="s">
        <v>479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</row>
    <row r="4" spans="1:17" s="162" customFormat="1" ht="75" x14ac:dyDescent="0.5">
      <c r="A4" s="525" t="s">
        <v>133</v>
      </c>
      <c r="B4" s="525"/>
      <c r="C4" s="161" t="s">
        <v>134</v>
      </c>
      <c r="D4" s="161" t="s">
        <v>353</v>
      </c>
      <c r="E4" s="161" t="s">
        <v>355</v>
      </c>
      <c r="F4" s="161" t="s">
        <v>67</v>
      </c>
      <c r="G4" s="161" t="s">
        <v>135</v>
      </c>
      <c r="H4" s="161" t="s">
        <v>136</v>
      </c>
      <c r="I4" s="161" t="s">
        <v>137</v>
      </c>
      <c r="J4" s="161" t="s">
        <v>138</v>
      </c>
      <c r="K4" s="161" t="s">
        <v>139</v>
      </c>
      <c r="L4" s="161" t="s">
        <v>140</v>
      </c>
      <c r="M4" s="161" t="s">
        <v>141</v>
      </c>
      <c r="N4" s="161" t="s">
        <v>142</v>
      </c>
      <c r="O4" s="161" t="s">
        <v>143</v>
      </c>
      <c r="P4" s="161" t="s">
        <v>144</v>
      </c>
      <c r="Q4" s="161" t="s">
        <v>145</v>
      </c>
    </row>
    <row r="5" spans="1:17" s="168" customFormat="1" ht="18.75" x14ac:dyDescent="0.3">
      <c r="A5" s="163" t="s">
        <v>146</v>
      </c>
      <c r="B5" s="164"/>
      <c r="C5" s="165"/>
      <c r="D5" s="165"/>
      <c r="E5" s="165"/>
      <c r="F5" s="165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68" customFormat="1" ht="18.75" x14ac:dyDescent="0.3">
      <c r="A6" s="232"/>
      <c r="B6" s="233" t="s">
        <v>145</v>
      </c>
      <c r="C6" s="209">
        <f>[5]รวมปี!$C$468</f>
        <v>9463700</v>
      </c>
      <c r="D6" s="209">
        <f t="shared" ref="D6:D16" si="0">SUM(G6:Q6)-E6</f>
        <v>9125925.1199999992</v>
      </c>
      <c r="E6" s="209">
        <v>0</v>
      </c>
      <c r="F6" s="209">
        <f>SUM(D6:E6)</f>
        <v>9125925.1199999992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09">
        <v>0</v>
      </c>
      <c r="N6" s="209">
        <v>0</v>
      </c>
      <c r="O6" s="209">
        <v>0</v>
      </c>
      <c r="P6" s="209">
        <v>0</v>
      </c>
      <c r="Q6" s="209">
        <f>แยกแผนงาน!O20</f>
        <v>9125925.1199999992</v>
      </c>
    </row>
    <row r="7" spans="1:17" s="168" customFormat="1" ht="18.75" x14ac:dyDescent="0.3">
      <c r="A7" s="232"/>
      <c r="B7" s="233" t="s">
        <v>147</v>
      </c>
      <c r="C7" s="209">
        <f>[5]รวมปี!$C$469</f>
        <v>2624640</v>
      </c>
      <c r="D7" s="209">
        <f t="shared" si="0"/>
        <v>2624640</v>
      </c>
      <c r="E7" s="209">
        <v>0</v>
      </c>
      <c r="F7" s="209">
        <f t="shared" ref="F7:F16" si="1">SUM(D7:E7)</f>
        <v>2624640</v>
      </c>
      <c r="G7" s="209">
        <f>แยกแผนงาน!E6</f>
        <v>2624640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209">
        <v>0</v>
      </c>
    </row>
    <row r="8" spans="1:17" s="168" customFormat="1" ht="18.75" x14ac:dyDescent="0.3">
      <c r="A8" s="232"/>
      <c r="B8" s="233" t="s">
        <v>148</v>
      </c>
      <c r="C8" s="209">
        <f>[5]รวมปี!$C$470</f>
        <v>10962770</v>
      </c>
      <c r="D8" s="209">
        <f t="shared" si="0"/>
        <v>10024961</v>
      </c>
      <c r="E8" s="209">
        <f>45270</f>
        <v>45270</v>
      </c>
      <c r="F8" s="209">
        <f t="shared" si="1"/>
        <v>10070231</v>
      </c>
      <c r="G8" s="209">
        <f>แยกแผนงาน!E7</f>
        <v>5240349</v>
      </c>
      <c r="H8" s="209">
        <f>แยกแผนงาน!D88</f>
        <v>413820</v>
      </c>
      <c r="I8" s="209">
        <f>แยกแผนงาน!D129+45270</f>
        <v>2839245</v>
      </c>
      <c r="J8" s="209">
        <v>0</v>
      </c>
      <c r="K8" s="209">
        <v>0</v>
      </c>
      <c r="L8" s="209">
        <f>แยกแผนงาน!J7</f>
        <v>1268177</v>
      </c>
      <c r="M8" s="209">
        <v>0</v>
      </c>
      <c r="N8" s="209">
        <v>0</v>
      </c>
      <c r="O8" s="209">
        <v>0</v>
      </c>
      <c r="P8" s="209">
        <f>แยกแผนงาน!N7</f>
        <v>308640</v>
      </c>
      <c r="Q8" s="209">
        <v>0</v>
      </c>
    </row>
    <row r="9" spans="1:17" s="168" customFormat="1" ht="18.75" x14ac:dyDescent="0.3">
      <c r="A9" s="232"/>
      <c r="B9" s="233" t="s">
        <v>109</v>
      </c>
      <c r="C9" s="209">
        <f>[5]รวมปี!$C$471</f>
        <v>1175520</v>
      </c>
      <c r="D9" s="209">
        <f t="shared" si="0"/>
        <v>993687</v>
      </c>
      <c r="E9" s="209">
        <f>50350+23450+4083</f>
        <v>77883</v>
      </c>
      <c r="F9" s="209">
        <f t="shared" si="1"/>
        <v>1071570</v>
      </c>
      <c r="G9" s="209">
        <f>แยกแผนงาน!E9</f>
        <v>486205</v>
      </c>
      <c r="H9" s="209">
        <f>แยกแผนงาน!D90</f>
        <v>68700</v>
      </c>
      <c r="I9" s="209">
        <f>แยกแผนงาน!D131+50350+23450+4083</f>
        <v>290153</v>
      </c>
      <c r="J9" s="209">
        <v>0</v>
      </c>
      <c r="K9" s="209">
        <v>0</v>
      </c>
      <c r="L9" s="209">
        <f>แยกแผนงาน!J9</f>
        <v>162792</v>
      </c>
      <c r="M9" s="209">
        <v>0</v>
      </c>
      <c r="N9" s="209">
        <v>0</v>
      </c>
      <c r="O9" s="209">
        <v>0</v>
      </c>
      <c r="P9" s="209">
        <f>แยกแผนงาน!N9</f>
        <v>63720</v>
      </c>
      <c r="Q9" s="209">
        <v>0</v>
      </c>
    </row>
    <row r="10" spans="1:17" s="168" customFormat="1" ht="18.75" x14ac:dyDescent="0.3">
      <c r="A10" s="232"/>
      <c r="B10" s="233" t="s">
        <v>112</v>
      </c>
      <c r="C10" s="209">
        <f>[5]รวมปี!$C$472</f>
        <v>8316430</v>
      </c>
      <c r="D10" s="209">
        <f t="shared" si="0"/>
        <v>6908514.8700000001</v>
      </c>
      <c r="E10" s="209">
        <v>0</v>
      </c>
      <c r="F10" s="209">
        <f t="shared" si="1"/>
        <v>6908514.8700000001</v>
      </c>
      <c r="G10" s="209">
        <f>แยกแผนงาน!E11</f>
        <v>1950386.87</v>
      </c>
      <c r="H10" s="209">
        <f>แยกแผนงาน!D92</f>
        <v>660654</v>
      </c>
      <c r="I10" s="209">
        <f>แยกแผนงาน!D133</f>
        <v>1866510</v>
      </c>
      <c r="J10" s="209">
        <f>แยกแผนงาน!D174</f>
        <v>0</v>
      </c>
      <c r="K10" s="209">
        <f>แยกแผนงาน!I11</f>
        <v>148080</v>
      </c>
      <c r="L10" s="209">
        <f>แยกแผนงาน!J11</f>
        <v>1937400</v>
      </c>
      <c r="M10" s="209">
        <f>แยกแผนงาน!K11</f>
        <v>87738</v>
      </c>
      <c r="N10" s="209">
        <f>แยกแผนงาน!L11</f>
        <v>157876</v>
      </c>
      <c r="O10" s="209">
        <v>0</v>
      </c>
      <c r="P10" s="209">
        <f>แยกแผนงาน!N11</f>
        <v>99870</v>
      </c>
      <c r="Q10" s="209">
        <v>0</v>
      </c>
    </row>
    <row r="11" spans="1:17" s="168" customFormat="1" ht="18.75" x14ac:dyDescent="0.3">
      <c r="A11" s="232"/>
      <c r="B11" s="233" t="s">
        <v>110</v>
      </c>
      <c r="C11" s="209">
        <f>[5]รวมปี!$C$473</f>
        <v>1869400</v>
      </c>
      <c r="D11" s="209">
        <f t="shared" si="0"/>
        <v>1475334.56</v>
      </c>
      <c r="E11" s="209">
        <v>0</v>
      </c>
      <c r="F11" s="209">
        <f t="shared" si="1"/>
        <v>1475334.56</v>
      </c>
      <c r="G11" s="209">
        <f>แยกแผนงาน!E13</f>
        <v>467532.39999999997</v>
      </c>
      <c r="H11" s="209">
        <f>แยกแผนงาน!D94</f>
        <v>89950</v>
      </c>
      <c r="I11" s="209">
        <f>แยกแผนงาน!D135</f>
        <v>729841.16</v>
      </c>
      <c r="J11" s="209">
        <f>แยกแผนงาน!H13</f>
        <v>12000</v>
      </c>
      <c r="K11" s="209">
        <v>0</v>
      </c>
      <c r="L11" s="209">
        <f>แยกแผนงาน!J13</f>
        <v>132731</v>
      </c>
      <c r="M11" s="209">
        <v>0</v>
      </c>
      <c r="N11" s="209">
        <v>0</v>
      </c>
      <c r="O11" s="209">
        <v>0</v>
      </c>
      <c r="P11" s="209">
        <f>แยกแผนงาน!N13</f>
        <v>43280</v>
      </c>
      <c r="Q11" s="209">
        <v>0</v>
      </c>
    </row>
    <row r="12" spans="1:17" s="168" customFormat="1" ht="18.75" x14ac:dyDescent="0.3">
      <c r="A12" s="232"/>
      <c r="B12" s="233" t="s">
        <v>149</v>
      </c>
      <c r="C12" s="209">
        <f>[5]รวมปี!$C$474</f>
        <v>390000</v>
      </c>
      <c r="D12" s="209">
        <f>SUM(G12:Q12)-E12</f>
        <v>313623.75</v>
      </c>
      <c r="E12" s="209">
        <v>0</v>
      </c>
      <c r="F12" s="209">
        <f t="shared" si="1"/>
        <v>313623.75</v>
      </c>
      <c r="G12" s="209">
        <f>แยกแผนงาน!E14</f>
        <v>313623.75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</row>
    <row r="13" spans="1:17" s="168" customFormat="1" ht="18.75" x14ac:dyDescent="0.3">
      <c r="A13" s="232"/>
      <c r="B13" s="233" t="s">
        <v>150</v>
      </c>
      <c r="C13" s="209">
        <f>[5]รวมปี!$C$477</f>
        <v>951300</v>
      </c>
      <c r="D13" s="209">
        <f t="shared" si="0"/>
        <v>872104</v>
      </c>
      <c r="E13" s="209">
        <v>96000</v>
      </c>
      <c r="F13" s="209">
        <f t="shared" si="1"/>
        <v>968104</v>
      </c>
      <c r="G13" s="209">
        <f>แยกแผนงาน!E15</f>
        <v>754444</v>
      </c>
      <c r="H13" s="209">
        <f>แยกแผนงาน!D96</f>
        <v>37680</v>
      </c>
      <c r="I13" s="209">
        <f>แยกแผนงาน!D137+96000</f>
        <v>111990</v>
      </c>
      <c r="J13" s="209">
        <f>แยกแผนงาน!H15</f>
        <v>53000</v>
      </c>
      <c r="K13" s="209">
        <v>0</v>
      </c>
      <c r="L13" s="209">
        <f>แยกแผนงาน!J15</f>
        <v>10990</v>
      </c>
      <c r="M13" s="209">
        <v>0</v>
      </c>
      <c r="N13" s="209">
        <v>0</v>
      </c>
      <c r="O13" s="209">
        <v>0</v>
      </c>
      <c r="P13" s="209">
        <v>0</v>
      </c>
      <c r="Q13" s="209">
        <v>0</v>
      </c>
    </row>
    <row r="14" spans="1:17" s="168" customFormat="1" ht="18.75" x14ac:dyDescent="0.3">
      <c r="A14" s="232"/>
      <c r="B14" s="233" t="s">
        <v>151</v>
      </c>
      <c r="C14" s="209">
        <f>[5]รวมปี!$C$478</f>
        <v>3299900</v>
      </c>
      <c r="D14" s="209">
        <f t="shared" si="0"/>
        <v>2760120.0000000009</v>
      </c>
      <c r="E14" s="209">
        <v>6535724.9699999997</v>
      </c>
      <c r="F14" s="209">
        <f t="shared" si="1"/>
        <v>9295844.9700000007</v>
      </c>
      <c r="G14" s="209">
        <f>แยกแผนงาน!E16</f>
        <v>104500</v>
      </c>
      <c r="H14" s="209">
        <v>0</v>
      </c>
      <c r="I14" s="209">
        <f>แยกแผนงาน!G16</f>
        <v>235200</v>
      </c>
      <c r="J14" s="209">
        <v>0</v>
      </c>
      <c r="K14" s="209">
        <v>0</v>
      </c>
      <c r="L14" s="209">
        <f>แยกแผนงาน!J16+4330000</f>
        <v>5558000</v>
      </c>
      <c r="M14" s="209">
        <v>0</v>
      </c>
      <c r="N14" s="209">
        <v>0</v>
      </c>
      <c r="O14" s="209">
        <f>แยกแผนงาน!M16+2205724.97</f>
        <v>3391144.97</v>
      </c>
      <c r="P14" s="209">
        <f>แยกแผนงาน!N16</f>
        <v>7000</v>
      </c>
      <c r="Q14" s="209">
        <v>0</v>
      </c>
    </row>
    <row r="15" spans="1:17" s="168" customFormat="1" ht="18.75" x14ac:dyDescent="0.3">
      <c r="A15" s="232"/>
      <c r="B15" s="233" t="s">
        <v>111</v>
      </c>
      <c r="C15" s="209">
        <f>[5]รวมปี!$C$476</f>
        <v>55000</v>
      </c>
      <c r="D15" s="209">
        <f t="shared" si="0"/>
        <v>38200</v>
      </c>
      <c r="E15" s="209">
        <v>0</v>
      </c>
      <c r="F15" s="209">
        <f t="shared" si="1"/>
        <v>38200</v>
      </c>
      <c r="G15" s="209">
        <f>แยกแผนงาน!E18</f>
        <v>28600</v>
      </c>
      <c r="H15" s="209">
        <v>0</v>
      </c>
      <c r="I15" s="209">
        <v>0</v>
      </c>
      <c r="J15" s="209">
        <v>0</v>
      </c>
      <c r="K15" s="209">
        <v>0</v>
      </c>
      <c r="L15" s="209">
        <f>แยกแผนงาน!J18</f>
        <v>9600</v>
      </c>
      <c r="M15" s="209">
        <v>0</v>
      </c>
      <c r="N15" s="209">
        <v>0</v>
      </c>
      <c r="O15" s="209">
        <v>0</v>
      </c>
      <c r="P15" s="209">
        <v>0</v>
      </c>
      <c r="Q15" s="209">
        <v>0</v>
      </c>
    </row>
    <row r="16" spans="1:17" s="168" customFormat="1" ht="18.75" x14ac:dyDescent="0.3">
      <c r="A16" s="234"/>
      <c r="B16" s="236" t="s">
        <v>117</v>
      </c>
      <c r="C16" s="209">
        <f>[5]รวมปี!$C$475</f>
        <v>1503000</v>
      </c>
      <c r="D16" s="209">
        <f t="shared" si="0"/>
        <v>1298000</v>
      </c>
      <c r="E16" s="209">
        <v>0</v>
      </c>
      <c r="F16" s="209">
        <f t="shared" si="1"/>
        <v>1298000</v>
      </c>
      <c r="G16" s="209">
        <f>แยกแผนงาน!E19</f>
        <v>40000</v>
      </c>
      <c r="H16" s="209">
        <v>0</v>
      </c>
      <c r="I16" s="209">
        <f>แยกแผนงาน!G19</f>
        <v>1048000</v>
      </c>
      <c r="J16" s="209">
        <f>แยกแผนงาน!H19</f>
        <v>40000</v>
      </c>
      <c r="K16" s="209">
        <v>0</v>
      </c>
      <c r="L16" s="209">
        <v>0</v>
      </c>
      <c r="M16" s="209">
        <f>แยกแผนงาน!K19</f>
        <v>110000</v>
      </c>
      <c r="N16" s="209">
        <f>แยกแผนงาน!L19</f>
        <v>60000</v>
      </c>
      <c r="O16" s="209">
        <v>0</v>
      </c>
      <c r="P16" s="209">
        <v>0</v>
      </c>
      <c r="Q16" s="209">
        <v>0</v>
      </c>
    </row>
    <row r="17" spans="1:19" s="168" customFormat="1" ht="19.5" thickBot="1" x14ac:dyDescent="0.3">
      <c r="A17" s="210"/>
      <c r="B17" s="73" t="s">
        <v>67</v>
      </c>
      <c r="C17" s="69">
        <f>SUM(C6:C16)</f>
        <v>40611660</v>
      </c>
      <c r="D17" s="69">
        <f>SUM(D6:D16)</f>
        <v>36435110.299999997</v>
      </c>
      <c r="E17" s="69">
        <f>SUM(E6:E16)</f>
        <v>6754877.9699999997</v>
      </c>
      <c r="F17" s="69">
        <f>SUM(F6:F16)</f>
        <v>43189988.269999996</v>
      </c>
      <c r="G17" s="69">
        <f t="shared" ref="G17:P17" si="2">SUM(G6:G16)</f>
        <v>12010281.020000001</v>
      </c>
      <c r="H17" s="69">
        <f t="shared" si="2"/>
        <v>1270804</v>
      </c>
      <c r="I17" s="69">
        <f>SUM(I6:I16)</f>
        <v>7120939.1600000001</v>
      </c>
      <c r="J17" s="69">
        <f t="shared" si="2"/>
        <v>105000</v>
      </c>
      <c r="K17" s="69">
        <f t="shared" si="2"/>
        <v>148080</v>
      </c>
      <c r="L17" s="69">
        <f t="shared" si="2"/>
        <v>9079690</v>
      </c>
      <c r="M17" s="69">
        <f t="shared" si="2"/>
        <v>197738</v>
      </c>
      <c r="N17" s="69">
        <f t="shared" si="2"/>
        <v>217876</v>
      </c>
      <c r="O17" s="69">
        <f>SUM(O6:O16)</f>
        <v>3391144.97</v>
      </c>
      <c r="P17" s="69">
        <f t="shared" si="2"/>
        <v>522510</v>
      </c>
      <c r="Q17" s="69">
        <f>SUM(Q6:Q16)</f>
        <v>9125925.1199999992</v>
      </c>
    </row>
    <row r="18" spans="1:19" s="168" customFormat="1" ht="19.5" thickTop="1" x14ac:dyDescent="0.25">
      <c r="A18" s="163" t="s">
        <v>152</v>
      </c>
      <c r="B18" s="164"/>
      <c r="C18" s="237"/>
      <c r="D18" s="237"/>
      <c r="E18" s="237"/>
      <c r="F18" s="237"/>
      <c r="G18" s="358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60"/>
      <c r="S18" s="361"/>
    </row>
    <row r="19" spans="1:19" s="168" customFormat="1" ht="18.75" x14ac:dyDescent="0.3">
      <c r="A19" s="232"/>
      <c r="B19" s="233" t="s">
        <v>153</v>
      </c>
      <c r="C19" s="209">
        <f>[5]รวมปี!$C$482</f>
        <v>946000</v>
      </c>
      <c r="D19" s="209">
        <f>[6]ทะเบียนรายรับ!$H$451</f>
        <v>1150317.6000000001</v>
      </c>
      <c r="E19" s="209"/>
      <c r="F19" s="209">
        <f>SUM(D19:E19)</f>
        <v>1150317.6000000001</v>
      </c>
      <c r="G19" s="224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9" s="168" customFormat="1" ht="18.75" x14ac:dyDescent="0.3">
      <c r="A20" s="232"/>
      <c r="B20" s="233" t="s">
        <v>154</v>
      </c>
      <c r="C20" s="209">
        <f>[5]รวมปี!$C$483</f>
        <v>538110</v>
      </c>
      <c r="D20" s="173">
        <f>[6]ทะเบียนรายรับ!$AD$451</f>
        <v>634486.80000000005</v>
      </c>
      <c r="E20" s="173"/>
      <c r="F20" s="209">
        <f t="shared" ref="F20:F27" si="3">SUM(D20:E20)</f>
        <v>634486.80000000005</v>
      </c>
      <c r="G20" s="224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9" s="168" customFormat="1" ht="18.75" x14ac:dyDescent="0.3">
      <c r="A21" s="232"/>
      <c r="B21" s="233" t="s">
        <v>155</v>
      </c>
      <c r="C21" s="209">
        <f>[5]รวมปี!$C$484</f>
        <v>400000</v>
      </c>
      <c r="D21" s="173">
        <f>[6]ทะเบียนรายรับ!$AI$451</f>
        <v>251980.50999999998</v>
      </c>
      <c r="E21" s="173"/>
      <c r="F21" s="209">
        <f t="shared" si="3"/>
        <v>251980.50999999998</v>
      </c>
      <c r="G21" s="224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9" s="168" customFormat="1" ht="18.75" x14ac:dyDescent="0.3">
      <c r="A22" s="232"/>
      <c r="B22" s="233" t="s">
        <v>156</v>
      </c>
      <c r="C22" s="209"/>
      <c r="D22" s="173"/>
      <c r="E22" s="173"/>
      <c r="F22" s="209"/>
      <c r="G22" s="224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9" s="168" customFormat="1" ht="18.75" x14ac:dyDescent="0.3">
      <c r="A23" s="232"/>
      <c r="B23" s="233" t="s">
        <v>157</v>
      </c>
      <c r="C23" s="209">
        <f>[5]รวมปี!$C$485</f>
        <v>30000</v>
      </c>
      <c r="D23" s="173">
        <f>[6]ทะเบียนรายรับ!$AP$451</f>
        <v>102975</v>
      </c>
      <c r="E23" s="173"/>
      <c r="F23" s="209">
        <f t="shared" si="3"/>
        <v>102975</v>
      </c>
      <c r="G23" s="224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s="168" customFormat="1" ht="18.75" x14ac:dyDescent="0.3">
      <c r="A24" s="232"/>
      <c r="B24" s="233" t="s">
        <v>158</v>
      </c>
      <c r="C24" s="209">
        <f>[7]งบแสดงผลการดำเนินงาน!$C471</f>
        <v>0</v>
      </c>
      <c r="D24" s="173"/>
      <c r="E24" s="173"/>
      <c r="F24" s="209">
        <f t="shared" si="3"/>
        <v>0</v>
      </c>
      <c r="G24" s="224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s="168" customFormat="1" ht="18.75" x14ac:dyDescent="0.3">
      <c r="A25" s="232"/>
      <c r="B25" s="233" t="s">
        <v>159</v>
      </c>
      <c r="C25" s="209">
        <f>[5]รวมปี!$C$487</f>
        <v>18492000</v>
      </c>
      <c r="D25" s="173">
        <f>[6]ทะเบียนรายรับ!$BA$451</f>
        <v>18777513.000000004</v>
      </c>
      <c r="E25" s="173"/>
      <c r="F25" s="209">
        <f t="shared" si="3"/>
        <v>18777513.000000004</v>
      </c>
      <c r="G25" s="224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9" s="168" customFormat="1" ht="18.75" x14ac:dyDescent="0.3">
      <c r="A26" s="232"/>
      <c r="B26" s="233" t="s">
        <v>160</v>
      </c>
      <c r="C26" s="209">
        <f>[5]รวมปี!$C$488</f>
        <v>20207000</v>
      </c>
      <c r="D26" s="173">
        <f>[6]ทะเบียนรายรับ!$BS$451</f>
        <v>16071485</v>
      </c>
      <c r="E26" s="173"/>
      <c r="F26" s="209">
        <f t="shared" si="3"/>
        <v>16071485</v>
      </c>
      <c r="G26" s="224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9" s="168" customFormat="1" ht="37.5" x14ac:dyDescent="0.3">
      <c r="A27" s="232"/>
      <c r="B27" s="235" t="s">
        <v>354</v>
      </c>
      <c r="C27" s="209">
        <f>[7]งบแสดงผลการดำเนินงาน!$C474</f>
        <v>0</v>
      </c>
      <c r="D27" s="173"/>
      <c r="E27" s="173">
        <v>6754877.9699999997</v>
      </c>
      <c r="F27" s="209">
        <f t="shared" si="3"/>
        <v>6754877.9699999997</v>
      </c>
      <c r="G27" s="224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9" s="168" customFormat="1" ht="19.5" thickBot="1" x14ac:dyDescent="0.3">
      <c r="A28" s="210"/>
      <c r="B28" s="73" t="s">
        <v>161</v>
      </c>
      <c r="C28" s="238">
        <f>SUM(C19:C27)</f>
        <v>40613110</v>
      </c>
      <c r="D28" s="238">
        <f>SUM(D19:D27)</f>
        <v>36988757.910000004</v>
      </c>
      <c r="E28" s="238">
        <f>E27-E17</f>
        <v>0</v>
      </c>
      <c r="F28" s="238">
        <f>SUM(F19:F27)</f>
        <v>43743635.880000003</v>
      </c>
      <c r="G28" s="224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9" s="168" customFormat="1" thickTop="1" thickBot="1" x14ac:dyDescent="0.3">
      <c r="B29" s="74" t="s">
        <v>162</v>
      </c>
      <c r="C29" s="239"/>
      <c r="D29" s="239"/>
      <c r="E29" s="239"/>
      <c r="F29" s="240">
        <f>F28-F17</f>
        <v>553647.61000000685</v>
      </c>
      <c r="G29" s="239">
        <f>D29+E29</f>
        <v>0</v>
      </c>
      <c r="H29" s="241"/>
      <c r="I29" s="241"/>
      <c r="J29" s="241"/>
      <c r="K29" s="241"/>
      <c r="L29" s="241"/>
      <c r="M29" s="241"/>
      <c r="N29" s="241"/>
      <c r="O29" s="241"/>
      <c r="P29" s="241"/>
      <c r="Q29" s="241"/>
    </row>
    <row r="30" spans="1:19" ht="21" thickTop="1" x14ac:dyDescent="0.3"/>
  </sheetData>
  <mergeCells count="4">
    <mergeCell ref="A1:Q1"/>
    <mergeCell ref="A2:Q2"/>
    <mergeCell ref="A3:Q3"/>
    <mergeCell ref="A4:B4"/>
  </mergeCells>
  <pageMargins left="0.2" right="0.14000000000000001" top="0.43" bottom="0.15" header="0.16" footer="0.14000000000000001"/>
  <pageSetup paperSize="9" scale="57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81"/>
  <sheetViews>
    <sheetView view="pageBreakPreview" zoomScaleNormal="80" zoomScaleSheetLayoutView="100" workbookViewId="0">
      <pane xSplit="2" ySplit="3" topLeftCell="C473" activePane="bottomRight" state="frozen"/>
      <selection pane="topRight" activeCell="C1" sqref="C1"/>
      <selection pane="bottomLeft" activeCell="A4" sqref="A4"/>
      <selection pane="bottomRight" activeCell="C454" sqref="C454"/>
    </sheetView>
  </sheetViews>
  <sheetFormatPr defaultRowHeight="18.75" x14ac:dyDescent="0.3"/>
  <cols>
    <col min="1" max="1" width="11.7109375" style="24" customWidth="1"/>
    <col min="2" max="2" width="18.7109375" style="24" customWidth="1"/>
    <col min="3" max="3" width="20.28515625" style="56" customWidth="1"/>
    <col min="4" max="4" width="17" style="24" customWidth="1"/>
    <col min="5" max="5" width="15.5703125" style="24" customWidth="1"/>
    <col min="6" max="6" width="14.28515625" style="24" customWidth="1"/>
    <col min="7" max="7" width="15.140625" style="24" customWidth="1"/>
    <col min="8" max="9" width="13.5703125" style="24" customWidth="1"/>
    <col min="10" max="10" width="15.85546875" style="24" customWidth="1"/>
    <col min="11" max="14" width="13.5703125" style="24" customWidth="1"/>
    <col min="15" max="15" width="12.5703125" style="24" customWidth="1"/>
    <col min="16" max="16" width="18.85546875" style="24" bestFit="1" customWidth="1"/>
    <col min="17" max="18" width="16.85546875" style="24" bestFit="1" customWidth="1"/>
    <col min="19" max="16384" width="9.140625" style="24"/>
  </cols>
  <sheetData>
    <row r="1" spans="1:18" s="160" customFormat="1" ht="23.25" x14ac:dyDescent="0.5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8" s="160" customFormat="1" ht="23.25" x14ac:dyDescent="0.5">
      <c r="A2" s="524" t="s">
        <v>317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18" s="160" customFormat="1" ht="23.25" x14ac:dyDescent="0.5">
      <c r="A3" s="524" t="s">
        <v>480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</row>
    <row r="4" spans="1:18" s="260" customFormat="1" ht="56.25" x14ac:dyDescent="0.5">
      <c r="A4" s="256" t="s">
        <v>356</v>
      </c>
      <c r="B4" s="257" t="s">
        <v>105</v>
      </c>
      <c r="C4" s="258" t="s">
        <v>102</v>
      </c>
      <c r="D4" s="258" t="s">
        <v>67</v>
      </c>
      <c r="E4" s="258" t="s">
        <v>135</v>
      </c>
      <c r="F4" s="258" t="s">
        <v>136</v>
      </c>
      <c r="G4" s="258" t="s">
        <v>137</v>
      </c>
      <c r="H4" s="258" t="s">
        <v>138</v>
      </c>
      <c r="I4" s="258" t="s">
        <v>139</v>
      </c>
      <c r="J4" s="258" t="s">
        <v>140</v>
      </c>
      <c r="K4" s="258" t="s">
        <v>141</v>
      </c>
      <c r="L4" s="258" t="s">
        <v>142</v>
      </c>
      <c r="M4" s="258" t="s">
        <v>99</v>
      </c>
      <c r="N4" s="258" t="s">
        <v>144</v>
      </c>
      <c r="O4" s="258" t="s">
        <v>145</v>
      </c>
      <c r="P4" s="259"/>
      <c r="Q4" s="259"/>
      <c r="R4" s="259"/>
    </row>
    <row r="5" spans="1:18" s="168" customFormat="1" x14ac:dyDescent="0.3">
      <c r="A5" s="252" t="s">
        <v>146</v>
      </c>
      <c r="B5" s="254"/>
      <c r="C5" s="250"/>
      <c r="D5" s="165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67"/>
      <c r="Q5" s="167"/>
      <c r="R5" s="167"/>
    </row>
    <row r="6" spans="1:18" s="168" customFormat="1" x14ac:dyDescent="0.3">
      <c r="A6" s="266" t="s">
        <v>357</v>
      </c>
      <c r="B6" s="261" t="s">
        <v>147</v>
      </c>
      <c r="C6" s="262" t="s">
        <v>358</v>
      </c>
      <c r="D6" s="67">
        <f>SUM(E6:O6)</f>
        <v>2624640</v>
      </c>
      <c r="E6" s="173">
        <f>D46</f>
        <v>2624640</v>
      </c>
      <c r="F6" s="170">
        <f>D87</f>
        <v>0</v>
      </c>
      <c r="G6" s="175">
        <f>D128</f>
        <v>0</v>
      </c>
      <c r="H6" s="170">
        <f>D169</f>
        <v>0</v>
      </c>
      <c r="I6" s="170">
        <f>D209</f>
        <v>0</v>
      </c>
      <c r="J6" s="170">
        <f>D250</f>
        <v>0</v>
      </c>
      <c r="K6" s="170">
        <f>D292</f>
        <v>0</v>
      </c>
      <c r="L6" s="170">
        <f>D333</f>
        <v>0</v>
      </c>
      <c r="M6" s="170">
        <f>D373</f>
        <v>0</v>
      </c>
      <c r="N6" s="170">
        <f>D413</f>
        <v>0</v>
      </c>
      <c r="O6" s="171">
        <f>D454</f>
        <v>0</v>
      </c>
      <c r="P6" s="172"/>
      <c r="Q6" s="172"/>
      <c r="R6" s="172"/>
    </row>
    <row r="7" spans="1:18" s="168" customFormat="1" x14ac:dyDescent="0.3">
      <c r="A7" s="267"/>
      <c r="B7" s="263" t="s">
        <v>148</v>
      </c>
      <c r="C7" s="263" t="s">
        <v>358</v>
      </c>
      <c r="D7" s="67">
        <f t="shared" ref="D7:D21" si="0">SUM(E7:O7)</f>
        <v>10024961</v>
      </c>
      <c r="E7" s="173">
        <f t="shared" ref="E7:E21" si="1">D47</f>
        <v>5240349</v>
      </c>
      <c r="F7" s="170">
        <f t="shared" ref="F7:F21" si="2">D88</f>
        <v>413820</v>
      </c>
      <c r="G7" s="175">
        <f t="shared" ref="G7:G21" si="3">D129</f>
        <v>2793975</v>
      </c>
      <c r="H7" s="170">
        <f t="shared" ref="H7:H21" si="4">D170</f>
        <v>0</v>
      </c>
      <c r="I7" s="170">
        <f t="shared" ref="I7:I21" si="5">D210</f>
        <v>0</v>
      </c>
      <c r="J7" s="170">
        <f t="shared" ref="J7:J21" si="6">D251</f>
        <v>1268177</v>
      </c>
      <c r="K7" s="170">
        <f t="shared" ref="K7:K21" si="7">D293</f>
        <v>0</v>
      </c>
      <c r="L7" s="170">
        <f t="shared" ref="L7:L21" si="8">D334</f>
        <v>0</v>
      </c>
      <c r="M7" s="170">
        <f t="shared" ref="M7:M21" si="9">D374</f>
        <v>0</v>
      </c>
      <c r="N7" s="170">
        <f t="shared" ref="N7:N21" si="10">D414</f>
        <v>308640</v>
      </c>
      <c r="O7" s="171">
        <f t="shared" ref="O7:O21" si="11">D455</f>
        <v>0</v>
      </c>
      <c r="P7" s="172"/>
      <c r="Q7" s="172"/>
      <c r="R7" s="174"/>
    </row>
    <row r="8" spans="1:18" s="168" customFormat="1" x14ac:dyDescent="0.3">
      <c r="A8" s="267"/>
      <c r="B8" s="263"/>
      <c r="C8" s="263" t="s">
        <v>359</v>
      </c>
      <c r="D8" s="67">
        <f t="shared" si="0"/>
        <v>0</v>
      </c>
      <c r="E8" s="173">
        <f t="shared" si="1"/>
        <v>0</v>
      </c>
      <c r="F8" s="170">
        <f t="shared" si="2"/>
        <v>0</v>
      </c>
      <c r="G8" s="175">
        <f t="shared" si="3"/>
        <v>0</v>
      </c>
      <c r="H8" s="170">
        <f t="shared" si="4"/>
        <v>0</v>
      </c>
      <c r="I8" s="170">
        <f t="shared" si="5"/>
        <v>0</v>
      </c>
      <c r="J8" s="170">
        <f t="shared" si="6"/>
        <v>0</v>
      </c>
      <c r="K8" s="170">
        <f t="shared" si="7"/>
        <v>0</v>
      </c>
      <c r="L8" s="170">
        <f t="shared" si="8"/>
        <v>0</v>
      </c>
      <c r="M8" s="170">
        <f t="shared" si="9"/>
        <v>0</v>
      </c>
      <c r="N8" s="170">
        <f t="shared" si="10"/>
        <v>0</v>
      </c>
      <c r="O8" s="171">
        <f t="shared" si="11"/>
        <v>0</v>
      </c>
      <c r="P8" s="172"/>
      <c r="Q8" s="172"/>
      <c r="R8" s="174"/>
    </row>
    <row r="9" spans="1:18" s="168" customFormat="1" x14ac:dyDescent="0.3">
      <c r="A9" s="267" t="s">
        <v>360</v>
      </c>
      <c r="B9" s="263" t="s">
        <v>109</v>
      </c>
      <c r="C9" s="263" t="s">
        <v>358</v>
      </c>
      <c r="D9" s="67">
        <f t="shared" si="0"/>
        <v>993687</v>
      </c>
      <c r="E9" s="173">
        <f t="shared" si="1"/>
        <v>486205</v>
      </c>
      <c r="F9" s="170">
        <f t="shared" si="2"/>
        <v>68700</v>
      </c>
      <c r="G9" s="175">
        <f t="shared" si="3"/>
        <v>212270</v>
      </c>
      <c r="H9" s="170">
        <f t="shared" si="4"/>
        <v>0</v>
      </c>
      <c r="I9" s="170">
        <f t="shared" si="5"/>
        <v>0</v>
      </c>
      <c r="J9" s="170">
        <f t="shared" si="6"/>
        <v>162792</v>
      </c>
      <c r="K9" s="170">
        <f t="shared" si="7"/>
        <v>0</v>
      </c>
      <c r="L9" s="170">
        <f t="shared" si="8"/>
        <v>0</v>
      </c>
      <c r="M9" s="170">
        <f t="shared" si="9"/>
        <v>0</v>
      </c>
      <c r="N9" s="170">
        <f t="shared" si="10"/>
        <v>63720</v>
      </c>
      <c r="O9" s="171">
        <f t="shared" si="11"/>
        <v>0</v>
      </c>
      <c r="P9" s="172"/>
      <c r="Q9" s="172"/>
      <c r="R9" s="174"/>
    </row>
    <row r="10" spans="1:18" s="168" customFormat="1" x14ac:dyDescent="0.3">
      <c r="A10" s="267"/>
      <c r="B10" s="263"/>
      <c r="C10" s="263" t="s">
        <v>359</v>
      </c>
      <c r="D10" s="67">
        <f t="shared" si="0"/>
        <v>0</v>
      </c>
      <c r="E10" s="173">
        <f t="shared" si="1"/>
        <v>0</v>
      </c>
      <c r="F10" s="170">
        <f t="shared" si="2"/>
        <v>0</v>
      </c>
      <c r="G10" s="175">
        <f t="shared" si="3"/>
        <v>0</v>
      </c>
      <c r="H10" s="170">
        <f t="shared" si="4"/>
        <v>0</v>
      </c>
      <c r="I10" s="170">
        <f t="shared" si="5"/>
        <v>0</v>
      </c>
      <c r="J10" s="170">
        <f t="shared" si="6"/>
        <v>0</v>
      </c>
      <c r="K10" s="170">
        <f t="shared" si="7"/>
        <v>0</v>
      </c>
      <c r="L10" s="170">
        <f t="shared" si="8"/>
        <v>0</v>
      </c>
      <c r="M10" s="170">
        <f t="shared" si="9"/>
        <v>0</v>
      </c>
      <c r="N10" s="170">
        <f t="shared" si="10"/>
        <v>0</v>
      </c>
      <c r="O10" s="171">
        <f t="shared" si="11"/>
        <v>0</v>
      </c>
      <c r="P10" s="172"/>
      <c r="Q10" s="172"/>
      <c r="R10" s="174"/>
    </row>
    <row r="11" spans="1:18" s="168" customFormat="1" x14ac:dyDescent="0.3">
      <c r="A11" s="267"/>
      <c r="B11" s="263" t="s">
        <v>112</v>
      </c>
      <c r="C11" s="263" t="s">
        <v>358</v>
      </c>
      <c r="D11" s="67">
        <f t="shared" si="0"/>
        <v>6908514.8700000001</v>
      </c>
      <c r="E11" s="173">
        <f t="shared" si="1"/>
        <v>1950386.87</v>
      </c>
      <c r="F11" s="170">
        <f t="shared" si="2"/>
        <v>660654</v>
      </c>
      <c r="G11" s="175">
        <f t="shared" si="3"/>
        <v>1866510</v>
      </c>
      <c r="H11" s="170">
        <f t="shared" si="4"/>
        <v>0</v>
      </c>
      <c r="I11" s="170">
        <f t="shared" si="5"/>
        <v>148080</v>
      </c>
      <c r="J11" s="170">
        <f t="shared" si="6"/>
        <v>1937400</v>
      </c>
      <c r="K11" s="170">
        <f t="shared" si="7"/>
        <v>87738</v>
      </c>
      <c r="L11" s="170">
        <f t="shared" si="8"/>
        <v>157876</v>
      </c>
      <c r="M11" s="170">
        <f t="shared" si="9"/>
        <v>0</v>
      </c>
      <c r="N11" s="170">
        <f t="shared" si="10"/>
        <v>99870</v>
      </c>
      <c r="O11" s="171">
        <f t="shared" si="11"/>
        <v>0</v>
      </c>
      <c r="P11" s="172"/>
      <c r="Q11" s="172"/>
      <c r="R11" s="174"/>
    </row>
    <row r="12" spans="1:18" s="168" customFormat="1" x14ac:dyDescent="0.3">
      <c r="A12" s="267"/>
      <c r="B12" s="263"/>
      <c r="C12" s="263" t="s">
        <v>359</v>
      </c>
      <c r="D12" s="67">
        <f t="shared" si="0"/>
        <v>0</v>
      </c>
      <c r="E12" s="173">
        <f t="shared" si="1"/>
        <v>0</v>
      </c>
      <c r="F12" s="170">
        <f t="shared" si="2"/>
        <v>0</v>
      </c>
      <c r="G12" s="175">
        <f t="shared" si="3"/>
        <v>0</v>
      </c>
      <c r="H12" s="170">
        <f t="shared" si="4"/>
        <v>0</v>
      </c>
      <c r="I12" s="170">
        <f t="shared" si="5"/>
        <v>0</v>
      </c>
      <c r="J12" s="170">
        <f t="shared" si="6"/>
        <v>0</v>
      </c>
      <c r="K12" s="170">
        <f t="shared" si="7"/>
        <v>0</v>
      </c>
      <c r="L12" s="170">
        <f t="shared" si="8"/>
        <v>0</v>
      </c>
      <c r="M12" s="170">
        <f t="shared" si="9"/>
        <v>0</v>
      </c>
      <c r="N12" s="170">
        <f t="shared" si="10"/>
        <v>0</v>
      </c>
      <c r="O12" s="171">
        <f t="shared" si="11"/>
        <v>0</v>
      </c>
      <c r="P12" s="172"/>
      <c r="Q12" s="172"/>
      <c r="R12" s="174"/>
    </row>
    <row r="13" spans="1:18" s="168" customFormat="1" x14ac:dyDescent="0.3">
      <c r="A13" s="267"/>
      <c r="B13" s="263" t="s">
        <v>110</v>
      </c>
      <c r="C13" s="263" t="s">
        <v>358</v>
      </c>
      <c r="D13" s="67">
        <f t="shared" si="0"/>
        <v>1475334.56</v>
      </c>
      <c r="E13" s="173">
        <f t="shared" si="1"/>
        <v>467532.39999999997</v>
      </c>
      <c r="F13" s="170">
        <f t="shared" si="2"/>
        <v>89950</v>
      </c>
      <c r="G13" s="175">
        <f t="shared" si="3"/>
        <v>729841.16</v>
      </c>
      <c r="H13" s="170">
        <f t="shared" si="4"/>
        <v>12000</v>
      </c>
      <c r="I13" s="170">
        <f t="shared" si="5"/>
        <v>0</v>
      </c>
      <c r="J13" s="170">
        <f t="shared" si="6"/>
        <v>132731</v>
      </c>
      <c r="K13" s="170">
        <f t="shared" si="7"/>
        <v>0</v>
      </c>
      <c r="L13" s="170">
        <f t="shared" si="8"/>
        <v>0</v>
      </c>
      <c r="M13" s="170">
        <f t="shared" si="9"/>
        <v>0</v>
      </c>
      <c r="N13" s="170">
        <f t="shared" si="10"/>
        <v>43280</v>
      </c>
      <c r="O13" s="171">
        <f t="shared" si="11"/>
        <v>0</v>
      </c>
      <c r="P13" s="172"/>
      <c r="Q13" s="172"/>
      <c r="R13" s="174"/>
    </row>
    <row r="14" spans="1:18" s="168" customFormat="1" x14ac:dyDescent="0.3">
      <c r="A14" s="267"/>
      <c r="B14" s="263" t="s">
        <v>149</v>
      </c>
      <c r="C14" s="263" t="s">
        <v>358</v>
      </c>
      <c r="D14" s="67">
        <f t="shared" si="0"/>
        <v>313623.75</v>
      </c>
      <c r="E14" s="173">
        <f t="shared" si="1"/>
        <v>313623.75</v>
      </c>
      <c r="F14" s="170">
        <f t="shared" si="2"/>
        <v>0</v>
      </c>
      <c r="G14" s="175">
        <f t="shared" si="3"/>
        <v>0</v>
      </c>
      <c r="H14" s="170">
        <f t="shared" si="4"/>
        <v>0</v>
      </c>
      <c r="I14" s="170">
        <f t="shared" si="5"/>
        <v>0</v>
      </c>
      <c r="J14" s="170">
        <f t="shared" si="6"/>
        <v>0</v>
      </c>
      <c r="K14" s="170">
        <f t="shared" si="7"/>
        <v>0</v>
      </c>
      <c r="L14" s="170">
        <f t="shared" si="8"/>
        <v>0</v>
      </c>
      <c r="M14" s="170">
        <f t="shared" si="9"/>
        <v>0</v>
      </c>
      <c r="N14" s="170">
        <f t="shared" si="10"/>
        <v>0</v>
      </c>
      <c r="O14" s="171">
        <f t="shared" si="11"/>
        <v>0</v>
      </c>
      <c r="P14" s="172"/>
      <c r="Q14" s="172"/>
      <c r="R14" s="174"/>
    </row>
    <row r="15" spans="1:18" s="168" customFormat="1" x14ac:dyDescent="0.3">
      <c r="A15" s="267" t="s">
        <v>361</v>
      </c>
      <c r="B15" s="263" t="s">
        <v>150</v>
      </c>
      <c r="C15" s="263" t="s">
        <v>358</v>
      </c>
      <c r="D15" s="67">
        <f t="shared" si="0"/>
        <v>872104</v>
      </c>
      <c r="E15" s="173">
        <f t="shared" si="1"/>
        <v>754444</v>
      </c>
      <c r="F15" s="170">
        <f t="shared" si="2"/>
        <v>37680</v>
      </c>
      <c r="G15" s="175">
        <f t="shared" si="3"/>
        <v>15990</v>
      </c>
      <c r="H15" s="170">
        <f t="shared" si="4"/>
        <v>53000</v>
      </c>
      <c r="I15" s="170">
        <f t="shared" si="5"/>
        <v>0</v>
      </c>
      <c r="J15" s="170">
        <f t="shared" si="6"/>
        <v>10990</v>
      </c>
      <c r="K15" s="170">
        <f t="shared" si="7"/>
        <v>0</v>
      </c>
      <c r="L15" s="170">
        <f t="shared" si="8"/>
        <v>0</v>
      </c>
      <c r="M15" s="170">
        <f t="shared" si="9"/>
        <v>0</v>
      </c>
      <c r="N15" s="170">
        <f t="shared" si="10"/>
        <v>0</v>
      </c>
      <c r="O15" s="171">
        <f t="shared" si="11"/>
        <v>0</v>
      </c>
      <c r="P15" s="172"/>
      <c r="Q15" s="172"/>
      <c r="R15" s="174"/>
    </row>
    <row r="16" spans="1:18" s="168" customFormat="1" x14ac:dyDescent="0.3">
      <c r="A16" s="267"/>
      <c r="B16" s="263" t="s">
        <v>364</v>
      </c>
      <c r="C16" s="263" t="s">
        <v>358</v>
      </c>
      <c r="D16" s="67">
        <f t="shared" si="0"/>
        <v>2760120</v>
      </c>
      <c r="E16" s="173">
        <f t="shared" si="1"/>
        <v>104500</v>
      </c>
      <c r="F16" s="170">
        <f t="shared" si="2"/>
        <v>0</v>
      </c>
      <c r="G16" s="175">
        <f t="shared" si="3"/>
        <v>235200</v>
      </c>
      <c r="H16" s="170">
        <f t="shared" si="4"/>
        <v>0</v>
      </c>
      <c r="I16" s="170">
        <f t="shared" si="5"/>
        <v>0</v>
      </c>
      <c r="J16" s="170">
        <f t="shared" si="6"/>
        <v>1228000</v>
      </c>
      <c r="K16" s="170">
        <f t="shared" si="7"/>
        <v>0</v>
      </c>
      <c r="L16" s="170">
        <f t="shared" si="8"/>
        <v>0</v>
      </c>
      <c r="M16" s="171">
        <f t="shared" si="9"/>
        <v>1185420</v>
      </c>
      <c r="N16" s="170">
        <f t="shared" si="10"/>
        <v>7000</v>
      </c>
      <c r="O16" s="171">
        <f t="shared" si="11"/>
        <v>0</v>
      </c>
      <c r="P16" s="172"/>
      <c r="Q16" s="172"/>
      <c r="R16" s="174"/>
    </row>
    <row r="17" spans="1:18" s="168" customFormat="1" x14ac:dyDescent="0.3">
      <c r="A17" s="267"/>
      <c r="B17" s="263" t="s">
        <v>365</v>
      </c>
      <c r="C17" s="263" t="s">
        <v>359</v>
      </c>
      <c r="D17" s="67">
        <f t="shared" si="0"/>
        <v>0</v>
      </c>
      <c r="E17" s="173">
        <f t="shared" si="1"/>
        <v>0</v>
      </c>
      <c r="F17" s="170">
        <f t="shared" si="2"/>
        <v>0</v>
      </c>
      <c r="G17" s="175">
        <f t="shared" si="3"/>
        <v>0</v>
      </c>
      <c r="H17" s="170">
        <f t="shared" si="4"/>
        <v>0</v>
      </c>
      <c r="I17" s="170">
        <f t="shared" si="5"/>
        <v>0</v>
      </c>
      <c r="J17" s="170">
        <f t="shared" si="6"/>
        <v>0</v>
      </c>
      <c r="K17" s="170">
        <f t="shared" si="7"/>
        <v>0</v>
      </c>
      <c r="L17" s="170">
        <f t="shared" si="8"/>
        <v>0</v>
      </c>
      <c r="M17" s="170">
        <f t="shared" si="9"/>
        <v>0</v>
      </c>
      <c r="N17" s="170">
        <f t="shared" si="10"/>
        <v>0</v>
      </c>
      <c r="O17" s="171">
        <f t="shared" si="11"/>
        <v>0</v>
      </c>
      <c r="P17" s="172"/>
      <c r="Q17" s="172"/>
      <c r="R17" s="174"/>
    </row>
    <row r="18" spans="1:18" s="168" customFormat="1" x14ac:dyDescent="0.3">
      <c r="A18" s="267" t="s">
        <v>362</v>
      </c>
      <c r="B18" s="263" t="s">
        <v>111</v>
      </c>
      <c r="C18" s="263" t="s">
        <v>358</v>
      </c>
      <c r="D18" s="67">
        <f t="shared" si="0"/>
        <v>38200</v>
      </c>
      <c r="E18" s="173">
        <f t="shared" si="1"/>
        <v>28600</v>
      </c>
      <c r="F18" s="170">
        <f t="shared" si="2"/>
        <v>0</v>
      </c>
      <c r="G18" s="175">
        <f t="shared" si="3"/>
        <v>0</v>
      </c>
      <c r="H18" s="170">
        <f t="shared" si="4"/>
        <v>0</v>
      </c>
      <c r="I18" s="170">
        <f t="shared" si="5"/>
        <v>0</v>
      </c>
      <c r="J18" s="170">
        <f t="shared" si="6"/>
        <v>9600</v>
      </c>
      <c r="K18" s="170">
        <f t="shared" si="7"/>
        <v>0</v>
      </c>
      <c r="L18" s="170">
        <f t="shared" si="8"/>
        <v>0</v>
      </c>
      <c r="M18" s="170">
        <f t="shared" si="9"/>
        <v>0</v>
      </c>
      <c r="N18" s="170">
        <f t="shared" si="10"/>
        <v>0</v>
      </c>
      <c r="O18" s="171">
        <f t="shared" si="11"/>
        <v>0</v>
      </c>
      <c r="P18" s="172"/>
      <c r="Q18" s="172"/>
      <c r="R18" s="174"/>
    </row>
    <row r="19" spans="1:18" s="168" customFormat="1" x14ac:dyDescent="0.3">
      <c r="A19" s="267" t="s">
        <v>363</v>
      </c>
      <c r="B19" s="263" t="s">
        <v>117</v>
      </c>
      <c r="C19" s="263" t="s">
        <v>358</v>
      </c>
      <c r="D19" s="67">
        <f t="shared" si="0"/>
        <v>1298000</v>
      </c>
      <c r="E19" s="173">
        <f t="shared" si="1"/>
        <v>40000</v>
      </c>
      <c r="F19" s="170">
        <f t="shared" si="2"/>
        <v>0</v>
      </c>
      <c r="G19" s="175">
        <f t="shared" si="3"/>
        <v>1048000</v>
      </c>
      <c r="H19" s="170">
        <f t="shared" si="4"/>
        <v>40000</v>
      </c>
      <c r="I19" s="170">
        <f t="shared" si="5"/>
        <v>0</v>
      </c>
      <c r="J19" s="170">
        <f t="shared" si="6"/>
        <v>0</v>
      </c>
      <c r="K19" s="170">
        <f t="shared" si="7"/>
        <v>110000</v>
      </c>
      <c r="L19" s="170">
        <f t="shared" si="8"/>
        <v>60000</v>
      </c>
      <c r="M19" s="170">
        <f t="shared" si="9"/>
        <v>0</v>
      </c>
      <c r="N19" s="170">
        <f t="shared" si="10"/>
        <v>0</v>
      </c>
      <c r="O19" s="171">
        <f t="shared" si="11"/>
        <v>0</v>
      </c>
      <c r="P19" s="172"/>
      <c r="Q19" s="172"/>
      <c r="R19" s="174"/>
    </row>
    <row r="20" spans="1:18" s="168" customFormat="1" x14ac:dyDescent="0.3">
      <c r="A20" s="267" t="s">
        <v>145</v>
      </c>
      <c r="B20" s="263" t="s">
        <v>145</v>
      </c>
      <c r="C20" s="263" t="s">
        <v>358</v>
      </c>
      <c r="D20" s="67">
        <f t="shared" si="0"/>
        <v>9125925.1199999992</v>
      </c>
      <c r="E20" s="173">
        <f t="shared" si="1"/>
        <v>0</v>
      </c>
      <c r="F20" s="170">
        <f t="shared" si="2"/>
        <v>0</v>
      </c>
      <c r="G20" s="175">
        <f t="shared" si="3"/>
        <v>0</v>
      </c>
      <c r="H20" s="170">
        <f t="shared" si="4"/>
        <v>0</v>
      </c>
      <c r="I20" s="170">
        <f t="shared" si="5"/>
        <v>0</v>
      </c>
      <c r="J20" s="170">
        <f t="shared" si="6"/>
        <v>0</v>
      </c>
      <c r="K20" s="170">
        <f t="shared" si="7"/>
        <v>0</v>
      </c>
      <c r="L20" s="170">
        <f t="shared" si="8"/>
        <v>0</v>
      </c>
      <c r="M20" s="170">
        <f t="shared" si="9"/>
        <v>0</v>
      </c>
      <c r="N20" s="170">
        <f t="shared" si="10"/>
        <v>0</v>
      </c>
      <c r="O20" s="171">
        <f t="shared" si="11"/>
        <v>9125925.1199999992</v>
      </c>
      <c r="P20" s="172"/>
      <c r="Q20" s="172"/>
      <c r="R20" s="174"/>
    </row>
    <row r="21" spans="1:18" s="168" customFormat="1" x14ac:dyDescent="0.3">
      <c r="A21" s="253"/>
      <c r="B21" s="264"/>
      <c r="C21" s="265" t="s">
        <v>359</v>
      </c>
      <c r="D21" s="67">
        <f t="shared" si="0"/>
        <v>0</v>
      </c>
      <c r="E21" s="173">
        <f t="shared" si="1"/>
        <v>0</v>
      </c>
      <c r="F21" s="170">
        <f t="shared" si="2"/>
        <v>0</v>
      </c>
      <c r="G21" s="175">
        <f t="shared" si="3"/>
        <v>0</v>
      </c>
      <c r="H21" s="170">
        <f t="shared" si="4"/>
        <v>0</v>
      </c>
      <c r="I21" s="170">
        <f t="shared" si="5"/>
        <v>0</v>
      </c>
      <c r="J21" s="170">
        <f t="shared" si="6"/>
        <v>0</v>
      </c>
      <c r="K21" s="170">
        <f t="shared" si="7"/>
        <v>0</v>
      </c>
      <c r="L21" s="170">
        <f t="shared" si="8"/>
        <v>0</v>
      </c>
      <c r="M21" s="170">
        <f t="shared" si="9"/>
        <v>0</v>
      </c>
      <c r="N21" s="170">
        <f t="shared" si="10"/>
        <v>0</v>
      </c>
      <c r="O21" s="171">
        <f t="shared" si="11"/>
        <v>0</v>
      </c>
      <c r="P21" s="172"/>
      <c r="Q21" s="172"/>
      <c r="R21" s="174"/>
    </row>
    <row r="22" spans="1:18" s="181" customFormat="1" ht="19.5" thickBot="1" x14ac:dyDescent="0.3">
      <c r="A22" s="526" t="s">
        <v>67</v>
      </c>
      <c r="B22" s="527" t="s">
        <v>67</v>
      </c>
      <c r="C22" s="528">
        <f>SUM(C6:C21)</f>
        <v>0</v>
      </c>
      <c r="D22" s="177">
        <f>SUM(D6:D21)</f>
        <v>36435110.299999997</v>
      </c>
      <c r="E22" s="177">
        <f t="shared" ref="E22:O22" si="12">SUM(E6:E21)</f>
        <v>12010281.020000001</v>
      </c>
      <c r="F22" s="177">
        <f t="shared" si="12"/>
        <v>1270804</v>
      </c>
      <c r="G22" s="177">
        <f t="shared" si="12"/>
        <v>6901786.1600000001</v>
      </c>
      <c r="H22" s="177">
        <f t="shared" si="12"/>
        <v>105000</v>
      </c>
      <c r="I22" s="177">
        <f t="shared" si="12"/>
        <v>148080</v>
      </c>
      <c r="J22" s="177">
        <f t="shared" si="12"/>
        <v>4749690</v>
      </c>
      <c r="K22" s="177">
        <f t="shared" si="12"/>
        <v>197738</v>
      </c>
      <c r="L22" s="177">
        <f t="shared" si="12"/>
        <v>217876</v>
      </c>
      <c r="M22" s="178">
        <f t="shared" si="12"/>
        <v>1185420</v>
      </c>
      <c r="N22" s="177">
        <f t="shared" si="12"/>
        <v>522510</v>
      </c>
      <c r="O22" s="351">
        <f t="shared" si="12"/>
        <v>9125925.1199999992</v>
      </c>
      <c r="P22" s="179"/>
      <c r="Q22" s="180"/>
      <c r="R22" s="180"/>
    </row>
    <row r="23" spans="1:18" s="181" customFormat="1" ht="16.5" thickTop="1" x14ac:dyDescent="0.25">
      <c r="A23" s="182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184"/>
      <c r="O23" s="184"/>
    </row>
    <row r="24" spans="1:18" s="168" customFormat="1" x14ac:dyDescent="0.3">
      <c r="A24" s="186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8" s="168" customFormat="1" x14ac:dyDescent="0.3">
      <c r="A25" s="186"/>
      <c r="B25" s="189"/>
      <c r="C25" s="190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8" s="168" customFormat="1" x14ac:dyDescent="0.3">
      <c r="A26" s="186"/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1:18" s="168" customFormat="1" x14ac:dyDescent="0.3">
      <c r="A27" s="186"/>
      <c r="B27" s="189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1:18" s="168" customFormat="1" x14ac:dyDescent="0.3">
      <c r="A28" s="186"/>
      <c r="B28" s="189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8" s="168" customFormat="1" x14ac:dyDescent="0.3">
      <c r="A29" s="186"/>
      <c r="B29" s="189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8" s="168" customFormat="1" x14ac:dyDescent="0.3">
      <c r="A30" s="186"/>
      <c r="B30" s="189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8" s="168" customFormat="1" x14ac:dyDescent="0.3">
      <c r="A31" s="186"/>
      <c r="B31" s="189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8" s="168" customFormat="1" x14ac:dyDescent="0.3">
      <c r="A32" s="186"/>
      <c r="B32" s="189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8" s="168" customFormat="1" x14ac:dyDescent="0.3">
      <c r="A33" s="186"/>
      <c r="B33" s="189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8" s="168" customFormat="1" x14ac:dyDescent="0.3">
      <c r="A34" s="186"/>
      <c r="B34" s="189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8" s="168" customFormat="1" x14ac:dyDescent="0.3">
      <c r="A35" s="186"/>
      <c r="B35" s="189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8" s="168" customFormat="1" x14ac:dyDescent="0.3">
      <c r="A36" s="186"/>
      <c r="B36" s="189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8" s="168" customFormat="1" x14ac:dyDescent="0.3">
      <c r="A37" s="186"/>
      <c r="B37" s="189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1:18" s="168" customFormat="1" x14ac:dyDescent="0.3">
      <c r="A38" s="186"/>
      <c r="B38" s="189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1:18" s="168" customFormat="1" x14ac:dyDescent="0.3">
      <c r="A39" s="186"/>
      <c r="B39" s="189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18" s="168" customFormat="1" x14ac:dyDescent="0.3">
      <c r="A40" s="186"/>
      <c r="B40" s="189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  <row r="41" spans="1:18" s="17" customFormat="1" ht="23.25" x14ac:dyDescent="0.35">
      <c r="A41" s="524" t="s">
        <v>0</v>
      </c>
      <c r="B41" s="524"/>
      <c r="C41" s="524"/>
      <c r="D41" s="524"/>
      <c r="E41" s="524"/>
      <c r="F41" s="524"/>
      <c r="G41" s="524"/>
      <c r="H41" s="191"/>
      <c r="I41" s="191"/>
      <c r="J41" s="85"/>
      <c r="K41" s="85"/>
      <c r="L41" s="85"/>
      <c r="M41" s="85"/>
      <c r="N41" s="85"/>
      <c r="O41" s="85"/>
      <c r="P41" s="85"/>
    </row>
    <row r="42" spans="1:18" s="17" customFormat="1" ht="23.25" x14ac:dyDescent="0.35">
      <c r="A42" s="524" t="s">
        <v>318</v>
      </c>
      <c r="B42" s="524"/>
      <c r="C42" s="524"/>
      <c r="D42" s="524"/>
      <c r="E42" s="524"/>
      <c r="F42" s="524"/>
      <c r="G42" s="524"/>
      <c r="H42" s="191"/>
      <c r="I42" s="191"/>
      <c r="J42" s="85"/>
      <c r="K42" s="85"/>
      <c r="L42" s="85"/>
      <c r="M42" s="85"/>
      <c r="N42" s="85"/>
      <c r="O42" s="85"/>
      <c r="P42" s="85"/>
    </row>
    <row r="43" spans="1:18" s="17" customFormat="1" ht="23.25" x14ac:dyDescent="0.35">
      <c r="A43" s="529" t="s">
        <v>479</v>
      </c>
      <c r="B43" s="529"/>
      <c r="C43" s="529"/>
      <c r="D43" s="529"/>
      <c r="E43" s="529"/>
      <c r="F43" s="529"/>
      <c r="G43" s="529"/>
      <c r="H43" s="192"/>
      <c r="I43" s="192"/>
      <c r="J43" s="85"/>
      <c r="K43" s="85"/>
      <c r="L43" s="85"/>
      <c r="M43" s="85"/>
      <c r="N43" s="85"/>
      <c r="O43" s="85"/>
      <c r="P43" s="85"/>
    </row>
    <row r="44" spans="1:18" s="269" customFormat="1" ht="37.5" x14ac:dyDescent="0.3">
      <c r="A44" s="256" t="s">
        <v>356</v>
      </c>
      <c r="B44" s="257" t="s">
        <v>105</v>
      </c>
      <c r="C44" s="258" t="s">
        <v>102</v>
      </c>
      <c r="D44" s="258" t="s">
        <v>67</v>
      </c>
      <c r="E44" s="258" t="s">
        <v>93</v>
      </c>
      <c r="F44" s="258" t="s">
        <v>319</v>
      </c>
      <c r="G44" s="258" t="s">
        <v>94</v>
      </c>
      <c r="H44" s="278"/>
      <c r="I44" s="268"/>
      <c r="L44" s="275"/>
      <c r="M44" s="275"/>
      <c r="N44" s="275"/>
      <c r="O44" s="275"/>
      <c r="P44" s="270"/>
      <c r="Q44" s="270"/>
    </row>
    <row r="45" spans="1:18" x14ac:dyDescent="0.3">
      <c r="A45" s="252" t="s">
        <v>146</v>
      </c>
      <c r="B45" s="254"/>
      <c r="C45" s="250"/>
      <c r="D45" s="165"/>
      <c r="E45" s="250"/>
      <c r="F45" s="251"/>
      <c r="G45" s="251"/>
      <c r="H45" s="193"/>
      <c r="I45" s="48"/>
      <c r="O45" s="72"/>
      <c r="P45" s="194"/>
      <c r="Q45" s="195"/>
      <c r="R45" s="72"/>
    </row>
    <row r="46" spans="1:18" x14ac:dyDescent="0.3">
      <c r="A46" s="266" t="s">
        <v>357</v>
      </c>
      <c r="B46" s="261" t="s">
        <v>147</v>
      </c>
      <c r="C46" s="481" t="s">
        <v>358</v>
      </c>
      <c r="D46" s="67">
        <f t="shared" ref="D46:D61" si="13">SUM(E46:G46)</f>
        <v>2624640</v>
      </c>
      <c r="E46" s="169">
        <f>SUM([5]รวมปี!$S$9:$S$13)</f>
        <v>2624640</v>
      </c>
      <c r="F46" s="170"/>
      <c r="G46" s="170"/>
      <c r="P46" s="196"/>
      <c r="Q46" s="195"/>
    </row>
    <row r="47" spans="1:18" x14ac:dyDescent="0.3">
      <c r="A47" s="267"/>
      <c r="B47" s="263" t="s">
        <v>148</v>
      </c>
      <c r="C47" s="263" t="s">
        <v>358</v>
      </c>
      <c r="D47" s="67">
        <f t="shared" si="13"/>
        <v>5240349</v>
      </c>
      <c r="E47" s="67">
        <f>SUM([5]รวมปี!$S$15:$S$19)</f>
        <v>3773103</v>
      </c>
      <c r="F47" s="68"/>
      <c r="G47" s="68">
        <f>SUM([5]รวมปี!$S$99:$S$102)</f>
        <v>1467246</v>
      </c>
      <c r="H47" s="193"/>
      <c r="I47" s="48"/>
      <c r="O47" s="72"/>
      <c r="P47" s="194"/>
      <c r="Q47" s="198"/>
      <c r="R47" s="72"/>
    </row>
    <row r="48" spans="1:18" x14ac:dyDescent="0.3">
      <c r="A48" s="267"/>
      <c r="B48" s="263"/>
      <c r="C48" s="263" t="s">
        <v>359</v>
      </c>
      <c r="D48" s="67">
        <f t="shared" si="13"/>
        <v>0</v>
      </c>
      <c r="E48" s="67">
        <v>0</v>
      </c>
      <c r="F48" s="68"/>
      <c r="G48" s="68"/>
      <c r="H48" s="193"/>
      <c r="I48" s="48"/>
      <c r="O48" s="72"/>
      <c r="P48" s="194"/>
      <c r="Q48" s="198"/>
      <c r="R48" s="72"/>
    </row>
    <row r="49" spans="1:18" x14ac:dyDescent="0.3">
      <c r="A49" s="267" t="s">
        <v>360</v>
      </c>
      <c r="B49" s="263" t="s">
        <v>109</v>
      </c>
      <c r="C49" s="263" t="s">
        <v>358</v>
      </c>
      <c r="D49" s="67">
        <f t="shared" si="13"/>
        <v>486205</v>
      </c>
      <c r="E49" s="67">
        <f>SUM([5]รวมปี!$S$22:$S$28)</f>
        <v>353695</v>
      </c>
      <c r="F49" s="68"/>
      <c r="G49" s="68">
        <f>SUM([5]รวมปี!$S$105:$S$107)</f>
        <v>132510</v>
      </c>
      <c r="H49" s="193"/>
      <c r="I49" s="48"/>
      <c r="O49" s="72"/>
      <c r="P49" s="194"/>
      <c r="Q49" s="198"/>
      <c r="R49" s="72"/>
    </row>
    <row r="50" spans="1:18" x14ac:dyDescent="0.3">
      <c r="A50" s="267"/>
      <c r="B50" s="263"/>
      <c r="C50" s="263" t="s">
        <v>359</v>
      </c>
      <c r="D50" s="67">
        <f t="shared" si="13"/>
        <v>0</v>
      </c>
      <c r="E50" s="67"/>
      <c r="F50" s="68"/>
      <c r="G50" s="68"/>
      <c r="H50" s="193"/>
      <c r="I50" s="48"/>
      <c r="O50" s="72"/>
      <c r="P50" s="194"/>
      <c r="Q50" s="198"/>
      <c r="R50" s="72"/>
    </row>
    <row r="51" spans="1:18" x14ac:dyDescent="0.3">
      <c r="A51" s="267"/>
      <c r="B51" s="263" t="s">
        <v>112</v>
      </c>
      <c r="C51" s="263" t="s">
        <v>358</v>
      </c>
      <c r="D51" s="67">
        <f t="shared" si="13"/>
        <v>1950386.87</v>
      </c>
      <c r="E51" s="67">
        <f>SUM([5]รวมปี!$S$30:$S$53)</f>
        <v>1723059.87</v>
      </c>
      <c r="F51" s="68"/>
      <c r="G51" s="68">
        <f>SUM([5]รวมปี!$S$109:$S$115)</f>
        <v>227327</v>
      </c>
      <c r="H51" s="193"/>
      <c r="I51" s="48"/>
      <c r="O51" s="72"/>
      <c r="P51" s="194"/>
      <c r="Q51" s="198"/>
      <c r="R51" s="174"/>
    </row>
    <row r="52" spans="1:18" x14ac:dyDescent="0.3">
      <c r="A52" s="267"/>
      <c r="B52" s="263"/>
      <c r="C52" s="263" t="s">
        <v>359</v>
      </c>
      <c r="D52" s="67">
        <f t="shared" si="13"/>
        <v>0</v>
      </c>
      <c r="E52" s="209"/>
      <c r="F52" s="68"/>
      <c r="G52" s="68"/>
      <c r="H52" s="193"/>
      <c r="I52" s="48"/>
      <c r="O52" s="72"/>
      <c r="P52" s="194"/>
      <c r="Q52" s="198"/>
      <c r="R52" s="174"/>
    </row>
    <row r="53" spans="1:18" x14ac:dyDescent="0.3">
      <c r="A53" s="267"/>
      <c r="B53" s="263" t="s">
        <v>110</v>
      </c>
      <c r="C53" s="263" t="s">
        <v>358</v>
      </c>
      <c r="D53" s="67">
        <f t="shared" si="13"/>
        <v>467532.39999999997</v>
      </c>
      <c r="E53" s="209">
        <f>SUM([5]รวมปี!$S$56:$S$64)</f>
        <v>427958.35</v>
      </c>
      <c r="F53" s="68"/>
      <c r="G53" s="68">
        <f>SUM([5]รวมปี!$S$117:$S$118)</f>
        <v>39574.050000000003</v>
      </c>
      <c r="H53" s="193"/>
      <c r="I53" s="48"/>
      <c r="O53" s="72"/>
      <c r="P53" s="194"/>
      <c r="Q53" s="198"/>
      <c r="R53" s="174"/>
    </row>
    <row r="54" spans="1:18" x14ac:dyDescent="0.3">
      <c r="A54" s="267"/>
      <c r="B54" s="263" t="s">
        <v>149</v>
      </c>
      <c r="C54" s="263" t="s">
        <v>358</v>
      </c>
      <c r="D54" s="67">
        <f t="shared" si="13"/>
        <v>313623.75</v>
      </c>
      <c r="E54" s="209">
        <f>SUM([5]รวมปี!$S$66:$S$70)</f>
        <v>313623.75</v>
      </c>
      <c r="F54" s="68"/>
      <c r="G54" s="68">
        <f>[8]รวมทั้งปี!$D$88</f>
        <v>0</v>
      </c>
      <c r="H54" s="193"/>
      <c r="I54" s="48"/>
      <c r="O54" s="72"/>
      <c r="P54" s="194"/>
      <c r="Q54" s="198"/>
      <c r="R54" s="72"/>
    </row>
    <row r="55" spans="1:18" x14ac:dyDescent="0.3">
      <c r="A55" s="267" t="s">
        <v>361</v>
      </c>
      <c r="B55" s="263" t="s">
        <v>150</v>
      </c>
      <c r="C55" s="263" t="s">
        <v>358</v>
      </c>
      <c r="D55" s="67">
        <f t="shared" si="13"/>
        <v>754444</v>
      </c>
      <c r="E55" s="209">
        <f>SUM([5]รวมปี!$S$73:$S$85)</f>
        <v>722454</v>
      </c>
      <c r="F55" s="68"/>
      <c r="G55" s="68">
        <f>SUM([5]รวมปี!$S$121:$S$123)</f>
        <v>31990</v>
      </c>
      <c r="H55" s="193"/>
      <c r="I55" s="48"/>
      <c r="O55" s="72"/>
      <c r="P55" s="194"/>
      <c r="Q55" s="198"/>
      <c r="R55" s="72"/>
    </row>
    <row r="56" spans="1:18" x14ac:dyDescent="0.3">
      <c r="A56" s="267"/>
      <c r="B56" s="263" t="s">
        <v>364</v>
      </c>
      <c r="C56" s="263" t="s">
        <v>358</v>
      </c>
      <c r="D56" s="67">
        <f t="shared" si="13"/>
        <v>104500</v>
      </c>
      <c r="E56" s="67">
        <f>[5]รวมปี!$S$88</f>
        <v>104500</v>
      </c>
      <c r="F56" s="68"/>
      <c r="G56" s="68">
        <f>[8]รวมทั้งปี!$D$123</f>
        <v>0</v>
      </c>
      <c r="H56" s="193"/>
      <c r="I56" s="48"/>
      <c r="O56" s="72"/>
      <c r="P56" s="194"/>
      <c r="Q56" s="198"/>
      <c r="R56" s="72"/>
    </row>
    <row r="57" spans="1:18" x14ac:dyDescent="0.3">
      <c r="A57" s="267"/>
      <c r="B57" s="263" t="s">
        <v>365</v>
      </c>
      <c r="C57" s="263" t="s">
        <v>359</v>
      </c>
      <c r="D57" s="67">
        <f t="shared" si="13"/>
        <v>0</v>
      </c>
      <c r="E57" s="67"/>
      <c r="F57" s="68"/>
      <c r="G57" s="68"/>
      <c r="H57" s="193"/>
      <c r="I57" s="48"/>
      <c r="O57" s="72"/>
      <c r="P57" s="194"/>
      <c r="Q57" s="198"/>
      <c r="R57" s="72"/>
    </row>
    <row r="58" spans="1:18" x14ac:dyDescent="0.3">
      <c r="A58" s="267" t="s">
        <v>362</v>
      </c>
      <c r="B58" s="263" t="s">
        <v>111</v>
      </c>
      <c r="C58" s="263" t="s">
        <v>358</v>
      </c>
      <c r="D58" s="67">
        <f t="shared" si="13"/>
        <v>28600</v>
      </c>
      <c r="E58" s="67">
        <f>[5]รวมปี!$S$90</f>
        <v>28600</v>
      </c>
      <c r="F58" s="68"/>
      <c r="G58" s="68">
        <v>0</v>
      </c>
      <c r="H58" s="193"/>
      <c r="I58" s="48"/>
      <c r="O58" s="72"/>
      <c r="P58" s="174"/>
      <c r="Q58" s="198"/>
      <c r="R58" s="72"/>
    </row>
    <row r="59" spans="1:18" x14ac:dyDescent="0.3">
      <c r="A59" s="267" t="s">
        <v>363</v>
      </c>
      <c r="B59" s="263" t="s">
        <v>117</v>
      </c>
      <c r="C59" s="263" t="s">
        <v>358</v>
      </c>
      <c r="D59" s="67">
        <f t="shared" si="13"/>
        <v>40000</v>
      </c>
      <c r="E59" s="67">
        <f>SUM([5]รวมปี!$S$93:$S$95)</f>
        <v>40000</v>
      </c>
      <c r="F59" s="68"/>
      <c r="G59" s="68">
        <f>[8]รวมทั้งปี!$D$134</f>
        <v>0</v>
      </c>
      <c r="H59" s="193"/>
      <c r="I59" s="48"/>
      <c r="O59" s="72"/>
      <c r="P59" s="174"/>
      <c r="Q59" s="198"/>
      <c r="R59" s="72"/>
    </row>
    <row r="60" spans="1:18" x14ac:dyDescent="0.3">
      <c r="A60" s="267" t="s">
        <v>145</v>
      </c>
      <c r="B60" s="263" t="s">
        <v>145</v>
      </c>
      <c r="C60" s="263" t="s">
        <v>358</v>
      </c>
      <c r="D60" s="67">
        <f t="shared" si="13"/>
        <v>0</v>
      </c>
      <c r="E60" s="67"/>
      <c r="F60" s="68"/>
      <c r="G60" s="68"/>
      <c r="H60" s="193"/>
      <c r="I60" s="48"/>
      <c r="O60" s="72"/>
      <c r="P60" s="174"/>
      <c r="Q60" s="198"/>
      <c r="R60" s="72"/>
    </row>
    <row r="61" spans="1:18" x14ac:dyDescent="0.3">
      <c r="A61" s="253"/>
      <c r="B61" s="264"/>
      <c r="C61" s="265" t="s">
        <v>359</v>
      </c>
      <c r="D61" s="67">
        <f t="shared" si="13"/>
        <v>0</v>
      </c>
      <c r="E61" s="215"/>
      <c r="F61" s="242"/>
      <c r="G61" s="242"/>
      <c r="H61" s="193"/>
      <c r="I61" s="48"/>
      <c r="O61" s="72"/>
      <c r="P61" s="174"/>
      <c r="Q61" s="198"/>
      <c r="R61" s="72"/>
    </row>
    <row r="62" spans="1:18" s="203" customFormat="1" ht="24" customHeight="1" thickBot="1" x14ac:dyDescent="0.3">
      <c r="A62" s="526" t="s">
        <v>67</v>
      </c>
      <c r="B62" s="527" t="s">
        <v>67</v>
      </c>
      <c r="C62" s="528">
        <f>SUM(C46:C61)</f>
        <v>0</v>
      </c>
      <c r="D62" s="69">
        <f>SUM(D46:D61)</f>
        <v>12010281.020000001</v>
      </c>
      <c r="E62" s="69">
        <f>SUM(E47:E59)</f>
        <v>7486993.9699999997</v>
      </c>
      <c r="F62" s="69">
        <f>SUM(F47:F59)</f>
        <v>0</v>
      </c>
      <c r="G62" s="177">
        <f>SUM(G47:G59)</f>
        <v>1898647.05</v>
      </c>
      <c r="H62" s="201"/>
      <c r="I62" s="202"/>
      <c r="O62" s="204"/>
      <c r="P62" s="205"/>
      <c r="Q62" s="206"/>
      <c r="R62" s="71"/>
    </row>
    <row r="63" spans="1:18" ht="19.5" thickTop="1" x14ac:dyDescent="0.3">
      <c r="A63" s="246"/>
      <c r="B63" s="186"/>
      <c r="C63" s="211"/>
      <c r="D63" s="211"/>
      <c r="E63" s="244"/>
      <c r="F63" s="207"/>
      <c r="G63" s="207"/>
      <c r="H63" s="72"/>
      <c r="I63" s="72"/>
      <c r="J63" s="72"/>
      <c r="K63" s="72"/>
      <c r="L63" s="72"/>
      <c r="M63" s="72"/>
      <c r="N63" s="208"/>
      <c r="O63" s="72"/>
      <c r="P63" s="72"/>
    </row>
    <row r="64" spans="1:18" x14ac:dyDescent="0.3">
      <c r="A64" s="186"/>
      <c r="B64" s="186"/>
      <c r="C64" s="212"/>
      <c r="D64" s="212"/>
      <c r="E64" s="21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x14ac:dyDescent="0.3">
      <c r="A65" s="186"/>
      <c r="B65" s="186"/>
      <c r="C65" s="212"/>
      <c r="D65" s="212"/>
      <c r="E65" s="21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x14ac:dyDescent="0.3">
      <c r="A66" s="186"/>
      <c r="B66" s="186"/>
      <c r="C66" s="212"/>
      <c r="D66" s="212"/>
      <c r="E66" s="245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x14ac:dyDescent="0.3">
      <c r="A67" s="186"/>
      <c r="B67" s="247"/>
      <c r="C67" s="212"/>
      <c r="D67" s="212"/>
      <c r="E67" s="21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x14ac:dyDescent="0.3">
      <c r="A68" s="186"/>
      <c r="B68" s="186"/>
      <c r="C68" s="212"/>
      <c r="D68" s="212"/>
      <c r="E68" s="21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x14ac:dyDescent="0.3">
      <c r="A69" s="186"/>
      <c r="B69" s="186"/>
      <c r="C69" s="212"/>
      <c r="D69" s="212"/>
      <c r="E69" s="21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x14ac:dyDescent="0.3">
      <c r="A70" s="186"/>
      <c r="B70" s="186"/>
      <c r="C70" s="239"/>
      <c r="D70" s="239"/>
      <c r="E70" s="21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x14ac:dyDescent="0.3">
      <c r="A71" s="186"/>
      <c r="B71" s="186"/>
      <c r="C71" s="212"/>
      <c r="D71" s="212"/>
      <c r="E71" s="21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x14ac:dyDescent="0.3">
      <c r="A72" s="186"/>
      <c r="B72" s="186"/>
      <c r="C72" s="239"/>
      <c r="D72" s="239"/>
      <c r="E72" s="21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x14ac:dyDescent="0.3">
      <c r="A73" s="186"/>
      <c r="B73" s="189"/>
      <c r="C73" s="211"/>
      <c r="D73" s="211"/>
      <c r="E73" s="21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x14ac:dyDescent="0.3">
      <c r="A74" s="186"/>
      <c r="B74" s="189"/>
      <c r="C74" s="211"/>
      <c r="D74" s="211"/>
      <c r="E74" s="21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x14ac:dyDescent="0.3">
      <c r="A75" s="186"/>
      <c r="B75" s="189"/>
      <c r="C75" s="211"/>
      <c r="D75" s="211"/>
      <c r="E75" s="21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x14ac:dyDescent="0.3">
      <c r="A76" s="186"/>
      <c r="B76" s="189"/>
      <c r="C76" s="212"/>
      <c r="D76" s="212"/>
      <c r="E76" s="21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x14ac:dyDescent="0.3">
      <c r="A77" s="186"/>
      <c r="B77" s="189"/>
      <c r="C77" s="212"/>
      <c r="D77" s="212"/>
      <c r="E77" s="21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x14ac:dyDescent="0.3">
      <c r="A78" s="186"/>
      <c r="B78" s="189"/>
      <c r="C78" s="212"/>
      <c r="D78" s="212"/>
      <c r="E78" s="21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x14ac:dyDescent="0.3">
      <c r="A79" s="186"/>
      <c r="B79" s="189"/>
      <c r="C79" s="212"/>
      <c r="D79" s="212"/>
      <c r="E79" s="21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x14ac:dyDescent="0.3">
      <c r="A80" s="186"/>
      <c r="B80" s="189"/>
      <c r="C80" s="212"/>
      <c r="D80" s="212"/>
      <c r="E80" s="21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7" x14ac:dyDescent="0.3">
      <c r="A81" s="186"/>
      <c r="B81" s="189"/>
      <c r="C81" s="212"/>
      <c r="D81" s="212"/>
      <c r="E81" s="21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7" s="17" customFormat="1" ht="23.25" x14ac:dyDescent="0.35">
      <c r="A82" s="524" t="s">
        <v>0</v>
      </c>
      <c r="B82" s="524"/>
      <c r="C82" s="524"/>
      <c r="D82" s="524"/>
      <c r="E82" s="524"/>
      <c r="F82" s="524"/>
      <c r="G82" s="524"/>
      <c r="H82" s="191"/>
      <c r="I82" s="191"/>
      <c r="J82" s="85"/>
      <c r="K82" s="85"/>
      <c r="L82" s="85"/>
      <c r="M82" s="85"/>
      <c r="N82" s="85"/>
      <c r="O82" s="85"/>
      <c r="P82" s="85"/>
    </row>
    <row r="83" spans="1:17" s="17" customFormat="1" ht="23.25" x14ac:dyDescent="0.35">
      <c r="A83" s="524" t="s">
        <v>320</v>
      </c>
      <c r="B83" s="524"/>
      <c r="C83" s="524"/>
      <c r="D83" s="524"/>
      <c r="E83" s="524"/>
      <c r="F83" s="524"/>
      <c r="G83" s="524"/>
      <c r="H83" s="191"/>
      <c r="I83" s="191"/>
      <c r="J83" s="85"/>
      <c r="K83" s="85"/>
      <c r="L83" s="85"/>
      <c r="M83" s="85"/>
      <c r="N83" s="85"/>
      <c r="O83" s="85"/>
      <c r="P83" s="85"/>
    </row>
    <row r="84" spans="1:17" s="17" customFormat="1" ht="23.25" x14ac:dyDescent="0.35">
      <c r="A84" s="529" t="s">
        <v>479</v>
      </c>
      <c r="B84" s="529"/>
      <c r="C84" s="529"/>
      <c r="D84" s="529"/>
      <c r="E84" s="529"/>
      <c r="F84" s="529"/>
      <c r="G84" s="529"/>
      <c r="H84" s="192"/>
      <c r="I84" s="192"/>
      <c r="J84" s="85"/>
      <c r="K84" s="85"/>
      <c r="L84" s="85"/>
      <c r="M84" s="85"/>
      <c r="N84" s="85"/>
      <c r="O84" s="85"/>
      <c r="P84" s="85"/>
    </row>
    <row r="85" spans="1:17" s="269" customFormat="1" ht="37.5" x14ac:dyDescent="0.3">
      <c r="A85" s="256" t="s">
        <v>356</v>
      </c>
      <c r="B85" s="257" t="s">
        <v>105</v>
      </c>
      <c r="C85" s="258" t="s">
        <v>102</v>
      </c>
      <c r="D85" s="258" t="s">
        <v>67</v>
      </c>
      <c r="E85" s="258" t="s">
        <v>321</v>
      </c>
      <c r="F85" s="258" t="s">
        <v>322</v>
      </c>
      <c r="G85" s="258" t="s">
        <v>323</v>
      </c>
      <c r="H85" s="278"/>
      <c r="I85" s="268"/>
      <c r="L85" s="275"/>
      <c r="M85" s="275"/>
      <c r="N85" s="275"/>
      <c r="O85" s="275"/>
      <c r="P85" s="270"/>
      <c r="Q85" s="270"/>
    </row>
    <row r="86" spans="1:17" x14ac:dyDescent="0.3">
      <c r="A86" s="252" t="s">
        <v>146</v>
      </c>
      <c r="B86" s="254"/>
      <c r="C86" s="250"/>
      <c r="D86" s="250"/>
      <c r="E86" s="250"/>
      <c r="F86" s="251"/>
      <c r="G86" s="251"/>
      <c r="H86" s="193"/>
      <c r="I86" s="48"/>
      <c r="L86" s="72"/>
      <c r="M86" s="72"/>
      <c r="N86" s="72"/>
      <c r="O86" s="72"/>
      <c r="P86" s="194"/>
      <c r="Q86" s="174"/>
    </row>
    <row r="87" spans="1:17" x14ac:dyDescent="0.3">
      <c r="A87" s="266" t="s">
        <v>357</v>
      </c>
      <c r="B87" s="261" t="s">
        <v>147</v>
      </c>
      <c r="C87" s="481" t="s">
        <v>358</v>
      </c>
      <c r="D87" s="169"/>
      <c r="E87" s="169"/>
      <c r="F87" s="170"/>
      <c r="G87" s="213"/>
      <c r="P87" s="194"/>
      <c r="Q87" s="195"/>
    </row>
    <row r="88" spans="1:17" x14ac:dyDescent="0.3">
      <c r="A88" s="267"/>
      <c r="B88" s="263" t="s">
        <v>148</v>
      </c>
      <c r="C88" s="263" t="s">
        <v>358</v>
      </c>
      <c r="D88" s="67">
        <f t="shared" ref="D88:D97" si="14">SUM(E88:G88)</f>
        <v>413820</v>
      </c>
      <c r="E88" s="67">
        <f>SUM([5]รวมปี!$S$128:$S$130)</f>
        <v>413820</v>
      </c>
      <c r="F88" s="68"/>
      <c r="G88" s="68"/>
      <c r="H88" s="193"/>
      <c r="I88" s="48"/>
      <c r="L88" s="72"/>
      <c r="M88" s="72"/>
      <c r="N88" s="72"/>
      <c r="O88" s="72"/>
      <c r="P88" s="194"/>
      <c r="Q88" s="174"/>
    </row>
    <row r="89" spans="1:17" x14ac:dyDescent="0.3">
      <c r="A89" s="267"/>
      <c r="B89" s="263"/>
      <c r="C89" s="263" t="s">
        <v>359</v>
      </c>
      <c r="D89" s="67">
        <f t="shared" si="14"/>
        <v>0</v>
      </c>
      <c r="E89" s="67"/>
      <c r="F89" s="68"/>
      <c r="G89" s="68"/>
      <c r="H89" s="193"/>
      <c r="I89" s="48"/>
      <c r="L89" s="72"/>
      <c r="M89" s="72"/>
      <c r="N89" s="72"/>
      <c r="O89" s="72"/>
      <c r="P89" s="194"/>
      <c r="Q89" s="174"/>
    </row>
    <row r="90" spans="1:17" x14ac:dyDescent="0.3">
      <c r="A90" s="267" t="s">
        <v>360</v>
      </c>
      <c r="B90" s="263" t="s">
        <v>109</v>
      </c>
      <c r="C90" s="263" t="s">
        <v>358</v>
      </c>
      <c r="D90" s="67">
        <f t="shared" si="14"/>
        <v>68700</v>
      </c>
      <c r="E90" s="67">
        <f>SUM([5]รวมปี!$S$133:$S$135)</f>
        <v>68700</v>
      </c>
      <c r="F90" s="68"/>
      <c r="G90" s="68"/>
      <c r="H90" s="193"/>
      <c r="I90" s="48"/>
      <c r="L90" s="72"/>
      <c r="M90" s="72"/>
      <c r="N90" s="72"/>
      <c r="O90" s="72"/>
      <c r="P90" s="194"/>
      <c r="Q90" s="174"/>
    </row>
    <row r="91" spans="1:17" x14ac:dyDescent="0.3">
      <c r="A91" s="267"/>
      <c r="B91" s="263"/>
      <c r="C91" s="263" t="s">
        <v>359</v>
      </c>
      <c r="D91" s="67">
        <f t="shared" si="14"/>
        <v>0</v>
      </c>
      <c r="E91" s="67"/>
      <c r="F91" s="68"/>
      <c r="G91" s="68"/>
      <c r="H91" s="193"/>
      <c r="I91" s="48"/>
      <c r="L91" s="72"/>
      <c r="M91" s="72"/>
      <c r="N91" s="72"/>
      <c r="O91" s="72"/>
      <c r="P91" s="194"/>
      <c r="Q91" s="198"/>
    </row>
    <row r="92" spans="1:17" x14ac:dyDescent="0.3">
      <c r="A92" s="267"/>
      <c r="B92" s="263" t="s">
        <v>112</v>
      </c>
      <c r="C92" s="263" t="s">
        <v>358</v>
      </c>
      <c r="D92" s="67">
        <f t="shared" si="14"/>
        <v>660654</v>
      </c>
      <c r="E92" s="67">
        <f>SUM([5]รวมปี!$S$138:$S$143)</f>
        <v>155450</v>
      </c>
      <c r="F92" s="68"/>
      <c r="G92" s="68">
        <f>SUM([5]รวมปี!$S$158:$S$165)</f>
        <v>505204</v>
      </c>
      <c r="H92" s="193"/>
      <c r="I92" s="48"/>
      <c r="L92" s="72"/>
      <c r="M92" s="72"/>
      <c r="N92" s="72"/>
      <c r="O92" s="72"/>
      <c r="P92" s="194"/>
      <c r="Q92" s="195"/>
    </row>
    <row r="93" spans="1:17" x14ac:dyDescent="0.3">
      <c r="A93" s="267"/>
      <c r="B93" s="263"/>
      <c r="C93" s="263" t="s">
        <v>359</v>
      </c>
      <c r="D93" s="67">
        <f t="shared" si="14"/>
        <v>0</v>
      </c>
      <c r="E93" s="67"/>
      <c r="F93" s="68"/>
      <c r="G93" s="68"/>
      <c r="H93" s="193"/>
      <c r="I93" s="48"/>
      <c r="L93" s="72"/>
      <c r="M93" s="72"/>
      <c r="N93" s="72"/>
      <c r="O93" s="72"/>
      <c r="P93" s="194"/>
      <c r="Q93" s="195"/>
    </row>
    <row r="94" spans="1:17" x14ac:dyDescent="0.3">
      <c r="A94" s="267"/>
      <c r="B94" s="263" t="s">
        <v>110</v>
      </c>
      <c r="C94" s="263" t="s">
        <v>358</v>
      </c>
      <c r="D94" s="67">
        <f t="shared" si="14"/>
        <v>89950</v>
      </c>
      <c r="E94" s="67">
        <f>SUM([5]รวมปี!$S$145:$S$146)</f>
        <v>89950</v>
      </c>
      <c r="F94" s="68"/>
      <c r="G94" s="68"/>
      <c r="H94" s="193"/>
      <c r="I94" s="48"/>
      <c r="L94" s="72"/>
      <c r="M94" s="72"/>
      <c r="N94" s="72"/>
      <c r="O94" s="72"/>
      <c r="P94" s="194"/>
      <c r="Q94" s="195"/>
    </row>
    <row r="95" spans="1:17" x14ac:dyDescent="0.3">
      <c r="A95" s="267"/>
      <c r="B95" s="263" t="s">
        <v>149</v>
      </c>
      <c r="C95" s="263" t="s">
        <v>358</v>
      </c>
      <c r="D95" s="67">
        <f t="shared" si="14"/>
        <v>0</v>
      </c>
      <c r="E95" s="67"/>
      <c r="F95" s="68"/>
      <c r="G95" s="68"/>
      <c r="H95" s="193"/>
      <c r="I95" s="48"/>
      <c r="L95" s="72"/>
      <c r="M95" s="72"/>
      <c r="N95" s="72"/>
      <c r="O95" s="72"/>
      <c r="P95" s="194"/>
      <c r="Q95" s="195"/>
    </row>
    <row r="96" spans="1:17" x14ac:dyDescent="0.3">
      <c r="A96" s="267" t="s">
        <v>361</v>
      </c>
      <c r="B96" s="263" t="s">
        <v>150</v>
      </c>
      <c r="C96" s="263" t="s">
        <v>358</v>
      </c>
      <c r="D96" s="67">
        <f t="shared" si="14"/>
        <v>37680</v>
      </c>
      <c r="E96" s="67">
        <f>SUM([5]รวมปี!$S$149:$S$152)</f>
        <v>37680</v>
      </c>
      <c r="F96" s="68"/>
      <c r="G96" s="68"/>
      <c r="H96" s="193"/>
      <c r="I96" s="48"/>
      <c r="L96" s="72"/>
      <c r="M96" s="72"/>
      <c r="N96" s="72"/>
      <c r="O96" s="72"/>
      <c r="P96" s="194"/>
      <c r="Q96" s="195"/>
    </row>
    <row r="97" spans="1:17" x14ac:dyDescent="0.3">
      <c r="A97" s="267"/>
      <c r="B97" s="263" t="s">
        <v>364</v>
      </c>
      <c r="C97" s="263" t="s">
        <v>358</v>
      </c>
      <c r="D97" s="67">
        <f t="shared" si="14"/>
        <v>0</v>
      </c>
      <c r="E97" s="67"/>
      <c r="F97" s="68"/>
      <c r="G97" s="68"/>
      <c r="H97" s="193"/>
      <c r="I97" s="48"/>
      <c r="L97" s="72"/>
      <c r="M97" s="72"/>
      <c r="N97" s="72"/>
      <c r="O97" s="72"/>
      <c r="P97" s="194"/>
      <c r="Q97" s="195"/>
    </row>
    <row r="98" spans="1:17" x14ac:dyDescent="0.3">
      <c r="A98" s="267"/>
      <c r="B98" s="263" t="s">
        <v>365</v>
      </c>
      <c r="C98" s="263" t="s">
        <v>359</v>
      </c>
      <c r="D98" s="67"/>
      <c r="E98" s="67"/>
      <c r="F98" s="68"/>
      <c r="G98" s="68"/>
      <c r="H98" s="193"/>
      <c r="I98" s="48"/>
      <c r="L98" s="72"/>
      <c r="M98" s="72"/>
      <c r="N98" s="72"/>
      <c r="O98" s="72"/>
      <c r="P98" s="194"/>
      <c r="Q98" s="195"/>
    </row>
    <row r="99" spans="1:17" x14ac:dyDescent="0.3">
      <c r="A99" s="267" t="s">
        <v>362</v>
      </c>
      <c r="B99" s="263" t="s">
        <v>111</v>
      </c>
      <c r="C99" s="263" t="s">
        <v>358</v>
      </c>
      <c r="D99" s="67"/>
      <c r="E99" s="67"/>
      <c r="F99" s="68"/>
      <c r="G99" s="68"/>
      <c r="H99" s="193"/>
      <c r="I99" s="48"/>
      <c r="L99" s="72"/>
      <c r="M99" s="72"/>
      <c r="N99" s="72"/>
      <c r="O99" s="72"/>
      <c r="P99" s="194"/>
      <c r="Q99" s="195"/>
    </row>
    <row r="100" spans="1:17" x14ac:dyDescent="0.3">
      <c r="A100" s="267" t="s">
        <v>363</v>
      </c>
      <c r="B100" s="263" t="s">
        <v>117</v>
      </c>
      <c r="C100" s="263" t="s">
        <v>358</v>
      </c>
      <c r="D100" s="67">
        <f>SUM(E100:G100)</f>
        <v>0</v>
      </c>
      <c r="E100" s="67"/>
      <c r="F100" s="68"/>
      <c r="G100" s="68"/>
      <c r="H100" s="193"/>
      <c r="I100" s="48"/>
      <c r="L100" s="72"/>
      <c r="M100" s="72"/>
      <c r="N100" s="72"/>
      <c r="O100" s="72"/>
      <c r="P100" s="194"/>
      <c r="Q100" s="195"/>
    </row>
    <row r="101" spans="1:17" x14ac:dyDescent="0.3">
      <c r="A101" s="267" t="s">
        <v>145</v>
      </c>
      <c r="B101" s="263" t="s">
        <v>145</v>
      </c>
      <c r="C101" s="263" t="s">
        <v>358</v>
      </c>
      <c r="D101" s="67"/>
      <c r="E101" s="67"/>
      <c r="F101" s="68"/>
      <c r="G101" s="68"/>
      <c r="H101" s="193"/>
      <c r="I101" s="48"/>
      <c r="L101" s="72"/>
      <c r="M101" s="72"/>
      <c r="N101" s="72"/>
      <c r="O101" s="72"/>
      <c r="P101" s="174"/>
      <c r="Q101" s="195"/>
    </row>
    <row r="102" spans="1:17" x14ac:dyDescent="0.3">
      <c r="A102" s="253"/>
      <c r="B102" s="264"/>
      <c r="C102" s="265" t="s">
        <v>359</v>
      </c>
      <c r="D102" s="67"/>
      <c r="E102" s="176"/>
      <c r="F102" s="200"/>
      <c r="G102" s="200"/>
      <c r="H102" s="193"/>
      <c r="I102" s="48"/>
      <c r="L102" s="72"/>
      <c r="M102" s="72"/>
      <c r="N102" s="72"/>
      <c r="O102" s="72"/>
      <c r="P102" s="174"/>
      <c r="Q102" s="195"/>
    </row>
    <row r="103" spans="1:17" ht="19.5" thickBot="1" x14ac:dyDescent="0.35">
      <c r="A103" s="526" t="s">
        <v>67</v>
      </c>
      <c r="B103" s="527" t="s">
        <v>67</v>
      </c>
      <c r="C103" s="528">
        <f>SUM(C87:C102)</f>
        <v>0</v>
      </c>
      <c r="D103" s="70">
        <f>SUM(D88:D102)</f>
        <v>1270804</v>
      </c>
      <c r="E103" s="70">
        <f>SUM(E88:E102)</f>
        <v>765600</v>
      </c>
      <c r="F103" s="70">
        <f>SUM(F88:F102)</f>
        <v>0</v>
      </c>
      <c r="G103" s="70">
        <f>SUM(G88:G102)</f>
        <v>505204</v>
      </c>
      <c r="H103" s="193"/>
      <c r="I103" s="48"/>
      <c r="L103" s="188"/>
      <c r="M103" s="188"/>
      <c r="N103" s="188"/>
      <c r="O103" s="188"/>
      <c r="P103" s="214"/>
      <c r="Q103" s="214"/>
    </row>
    <row r="104" spans="1:17" ht="19.5" thickTop="1" x14ac:dyDescent="0.3">
      <c r="A104" s="246"/>
      <c r="B104" s="186"/>
      <c r="C104" s="212"/>
      <c r="D104" s="212"/>
      <c r="E104" s="248"/>
      <c r="F104" s="207"/>
      <c r="G104" s="207"/>
      <c r="H104" s="72"/>
      <c r="I104" s="72"/>
      <c r="J104" s="72"/>
      <c r="K104" s="72"/>
      <c r="L104" s="72"/>
      <c r="M104" s="72"/>
      <c r="N104" s="72"/>
      <c r="O104" s="72"/>
      <c r="P104" s="72"/>
    </row>
    <row r="105" spans="1:17" x14ac:dyDescent="0.3">
      <c r="A105" s="186"/>
      <c r="B105" s="186"/>
      <c r="C105" s="212"/>
      <c r="D105" s="212"/>
      <c r="E105" s="21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17" x14ac:dyDescent="0.3">
      <c r="A106" s="186"/>
      <c r="B106" s="186"/>
      <c r="C106" s="212"/>
      <c r="D106" s="212"/>
      <c r="E106" s="21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1:17" x14ac:dyDescent="0.3">
      <c r="A107" s="186"/>
      <c r="B107" s="186"/>
      <c r="C107" s="212"/>
      <c r="D107" s="212"/>
      <c r="E107" s="21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1:17" x14ac:dyDescent="0.3">
      <c r="A108" s="186"/>
      <c r="B108" s="247"/>
      <c r="C108" s="212"/>
      <c r="D108" s="212"/>
      <c r="E108" s="21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1:17" x14ac:dyDescent="0.3">
      <c r="A109" s="186"/>
      <c r="B109" s="186"/>
      <c r="C109" s="212"/>
      <c r="D109" s="212"/>
      <c r="E109" s="21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1:17" x14ac:dyDescent="0.3">
      <c r="A110" s="186"/>
      <c r="B110" s="186"/>
      <c r="C110" s="212"/>
      <c r="D110" s="212"/>
      <c r="E110" s="21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</row>
    <row r="111" spans="1:17" x14ac:dyDescent="0.3">
      <c r="A111" s="186"/>
      <c r="B111" s="186"/>
      <c r="C111" s="211"/>
      <c r="D111" s="239"/>
      <c r="E111" s="21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1:17" x14ac:dyDescent="0.3">
      <c r="A112" s="186"/>
      <c r="B112" s="186"/>
      <c r="C112" s="212"/>
      <c r="D112" s="212"/>
      <c r="E112" s="21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1:17" x14ac:dyDescent="0.3">
      <c r="A113" s="186"/>
      <c r="B113" s="186"/>
      <c r="C113" s="239"/>
      <c r="D113" s="239"/>
      <c r="E113" s="21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1:17" x14ac:dyDescent="0.3">
      <c r="A114" s="186"/>
      <c r="B114" s="189"/>
      <c r="C114" s="211"/>
      <c r="D114" s="211"/>
      <c r="E114" s="21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 spans="1:17" x14ac:dyDescent="0.3">
      <c r="A115" s="186"/>
      <c r="B115" s="189"/>
      <c r="C115" s="212"/>
      <c r="D115" s="212"/>
      <c r="E115" s="21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 spans="1:17" x14ac:dyDescent="0.3">
      <c r="A116" s="186"/>
      <c r="B116" s="189"/>
      <c r="C116" s="212"/>
      <c r="D116" s="212"/>
      <c r="E116" s="21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 spans="1:17" x14ac:dyDescent="0.3">
      <c r="A117" s="186"/>
      <c r="B117" s="189"/>
      <c r="C117" s="212"/>
      <c r="D117" s="212"/>
      <c r="E117" s="21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7" x14ac:dyDescent="0.3">
      <c r="A118" s="186"/>
      <c r="B118" s="189"/>
      <c r="C118" s="212"/>
      <c r="D118" s="212"/>
      <c r="E118" s="21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7" x14ac:dyDescent="0.3">
      <c r="A119" s="186"/>
      <c r="B119" s="189"/>
      <c r="C119" s="212"/>
      <c r="D119" s="212"/>
      <c r="E119" s="21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1:17" x14ac:dyDescent="0.3">
      <c r="A120" s="186"/>
      <c r="B120" s="189"/>
      <c r="C120" s="212"/>
      <c r="D120" s="212"/>
      <c r="E120" s="21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1:17" x14ac:dyDescent="0.3">
      <c r="A121" s="186"/>
      <c r="B121" s="189"/>
      <c r="C121" s="212"/>
      <c r="D121" s="212"/>
      <c r="E121" s="21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1:17" x14ac:dyDescent="0.3">
      <c r="A122" s="186"/>
      <c r="B122" s="189"/>
      <c r="C122" s="212"/>
      <c r="D122" s="212"/>
      <c r="E122" s="21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 spans="1:17" s="17" customFormat="1" ht="23.25" x14ac:dyDescent="0.35">
      <c r="A123" s="524" t="s">
        <v>0</v>
      </c>
      <c r="B123" s="524"/>
      <c r="C123" s="524"/>
      <c r="D123" s="524"/>
      <c r="E123" s="524"/>
      <c r="F123" s="524"/>
      <c r="G123" s="524"/>
      <c r="H123" s="524"/>
      <c r="I123" s="85"/>
    </row>
    <row r="124" spans="1:17" s="17" customFormat="1" ht="23.25" x14ac:dyDescent="0.35">
      <c r="A124" s="524" t="s">
        <v>324</v>
      </c>
      <c r="B124" s="524"/>
      <c r="C124" s="524"/>
      <c r="D124" s="524"/>
      <c r="E124" s="524"/>
      <c r="F124" s="524"/>
      <c r="G124" s="524"/>
      <c r="H124" s="524"/>
      <c r="I124" s="85"/>
    </row>
    <row r="125" spans="1:17" s="17" customFormat="1" ht="23.25" x14ac:dyDescent="0.35">
      <c r="A125" s="529" t="s">
        <v>479</v>
      </c>
      <c r="B125" s="529"/>
      <c r="C125" s="529"/>
      <c r="D125" s="529"/>
      <c r="E125" s="529"/>
      <c r="F125" s="529"/>
      <c r="G125" s="529"/>
      <c r="H125" s="529"/>
      <c r="I125" s="216"/>
    </row>
    <row r="126" spans="1:17" s="269" customFormat="1" ht="37.5" x14ac:dyDescent="0.3">
      <c r="A126" s="256" t="s">
        <v>356</v>
      </c>
      <c r="B126" s="257" t="s">
        <v>105</v>
      </c>
      <c r="C126" s="258" t="s">
        <v>102</v>
      </c>
      <c r="D126" s="258" t="s">
        <v>67</v>
      </c>
      <c r="E126" s="258" t="s">
        <v>325</v>
      </c>
      <c r="F126" s="258" t="s">
        <v>326</v>
      </c>
      <c r="G126" s="258" t="s">
        <v>327</v>
      </c>
      <c r="H126" s="258" t="s">
        <v>328</v>
      </c>
      <c r="I126" s="275"/>
      <c r="P126" s="270"/>
      <c r="Q126" s="271"/>
    </row>
    <row r="127" spans="1:17" x14ac:dyDescent="0.3">
      <c r="A127" s="252" t="s">
        <v>146</v>
      </c>
      <c r="B127" s="254"/>
      <c r="C127" s="250"/>
      <c r="D127" s="250"/>
      <c r="E127" s="250"/>
      <c r="F127" s="251"/>
      <c r="G127" s="251"/>
      <c r="H127" s="251"/>
      <c r="I127" s="72"/>
      <c r="P127" s="194"/>
      <c r="Q127" s="195"/>
    </row>
    <row r="128" spans="1:17" x14ac:dyDescent="0.3">
      <c r="A128" s="266" t="s">
        <v>357</v>
      </c>
      <c r="B128" s="261" t="s">
        <v>147</v>
      </c>
      <c r="C128" s="481" t="s">
        <v>358</v>
      </c>
      <c r="D128" s="169"/>
      <c r="E128" s="169"/>
      <c r="F128" s="170"/>
      <c r="G128" s="213"/>
      <c r="H128" s="213"/>
      <c r="I128" s="48"/>
      <c r="P128" s="194"/>
      <c r="Q128" s="195"/>
    </row>
    <row r="129" spans="1:18" x14ac:dyDescent="0.3">
      <c r="A129" s="267"/>
      <c r="B129" s="263" t="s">
        <v>148</v>
      </c>
      <c r="C129" s="263" t="s">
        <v>358</v>
      </c>
      <c r="D129" s="67">
        <f>SUM(E129:H129)</f>
        <v>2793975</v>
      </c>
      <c r="E129" s="209">
        <f>SUM([5]รวมปี!$S$170:$S$173)</f>
        <v>571780</v>
      </c>
      <c r="F129" s="197">
        <f>SUM([5]รวมปี!$S$196:$S$199)</f>
        <v>2222195</v>
      </c>
      <c r="G129" s="68"/>
      <c r="H129" s="68"/>
      <c r="I129" s="72"/>
      <c r="P129" s="194"/>
      <c r="Q129" s="195"/>
    </row>
    <row r="130" spans="1:18" x14ac:dyDescent="0.3">
      <c r="A130" s="267"/>
      <c r="B130" s="263"/>
      <c r="C130" s="263" t="s">
        <v>359</v>
      </c>
      <c r="D130" s="67">
        <f>SUM(E130:H130)</f>
        <v>0</v>
      </c>
      <c r="E130" s="209"/>
      <c r="F130" s="197"/>
      <c r="G130" s="68"/>
      <c r="H130" s="68"/>
      <c r="I130" s="72"/>
      <c r="P130" s="194"/>
      <c r="Q130" s="198"/>
    </row>
    <row r="131" spans="1:18" x14ac:dyDescent="0.3">
      <c r="A131" s="267" t="s">
        <v>360</v>
      </c>
      <c r="B131" s="263" t="s">
        <v>109</v>
      </c>
      <c r="C131" s="263" t="s">
        <v>358</v>
      </c>
      <c r="D131" s="67">
        <f t="shared" ref="D131:D143" si="15">SUM(E131:H131)</f>
        <v>212270</v>
      </c>
      <c r="E131" s="67">
        <f>SUM([5]รวมปี!$S$176:$S$177)</f>
        <v>50830</v>
      </c>
      <c r="F131" s="68">
        <f>SUM([5]รวมปี!$S$202:$S$203)</f>
        <v>161440</v>
      </c>
      <c r="G131" s="68"/>
      <c r="H131" s="68"/>
      <c r="I131" s="72"/>
      <c r="P131" s="194"/>
      <c r="Q131" s="198"/>
    </row>
    <row r="132" spans="1:18" x14ac:dyDescent="0.3">
      <c r="A132" s="267"/>
      <c r="B132" s="263"/>
      <c r="C132" s="263" t="s">
        <v>359</v>
      </c>
      <c r="D132" s="67">
        <f t="shared" si="15"/>
        <v>0</v>
      </c>
      <c r="E132" s="67"/>
      <c r="F132" s="199"/>
      <c r="G132" s="68"/>
      <c r="H132" s="68"/>
      <c r="I132" s="72"/>
      <c r="P132" s="194"/>
      <c r="Q132" s="198"/>
      <c r="R132" s="217"/>
    </row>
    <row r="133" spans="1:18" x14ac:dyDescent="0.3">
      <c r="A133" s="267"/>
      <c r="B133" s="263" t="s">
        <v>112</v>
      </c>
      <c r="C133" s="263" t="s">
        <v>358</v>
      </c>
      <c r="D133" s="67">
        <f t="shared" si="15"/>
        <v>1866510</v>
      </c>
      <c r="E133" s="67">
        <f>SUM([5]รวมปี!$S$180:$S$186)</f>
        <v>89590</v>
      </c>
      <c r="F133" s="199">
        <f>SUM([5]รวมปี!$S$206:$S$211)</f>
        <v>1776920</v>
      </c>
      <c r="G133" s="68"/>
      <c r="H133" s="68"/>
      <c r="I133" s="72"/>
      <c r="P133" s="194"/>
      <c r="Q133" s="198"/>
      <c r="R133" s="217"/>
    </row>
    <row r="134" spans="1:18" x14ac:dyDescent="0.3">
      <c r="A134" s="267"/>
      <c r="B134" s="263"/>
      <c r="C134" s="263" t="s">
        <v>359</v>
      </c>
      <c r="D134" s="67">
        <f t="shared" si="15"/>
        <v>0</v>
      </c>
      <c r="E134" s="67"/>
      <c r="F134" s="199"/>
      <c r="G134" s="68"/>
      <c r="H134" s="68"/>
      <c r="I134" s="72"/>
      <c r="P134" s="194"/>
      <c r="Q134" s="198"/>
      <c r="R134" s="217"/>
    </row>
    <row r="135" spans="1:18" x14ac:dyDescent="0.3">
      <c r="A135" s="267"/>
      <c r="B135" s="263" t="s">
        <v>110</v>
      </c>
      <c r="C135" s="263" t="s">
        <v>358</v>
      </c>
      <c r="D135" s="67">
        <f t="shared" si="15"/>
        <v>729841.16</v>
      </c>
      <c r="E135" s="67">
        <f>SUM([5]รวมปี!$S$188:$S$189)</f>
        <v>30751</v>
      </c>
      <c r="F135" s="199">
        <f>SUM([5]รวมปี!$S$213:$S$216)</f>
        <v>671910.16</v>
      </c>
      <c r="G135" s="68"/>
      <c r="H135" s="68">
        <f>[5]รวมปี!$S$234</f>
        <v>27180</v>
      </c>
      <c r="I135" s="72"/>
      <c r="P135" s="194"/>
      <c r="Q135" s="198"/>
      <c r="R135" s="217"/>
    </row>
    <row r="136" spans="1:18" x14ac:dyDescent="0.3">
      <c r="A136" s="267"/>
      <c r="B136" s="263" t="s">
        <v>149</v>
      </c>
      <c r="C136" s="263" t="s">
        <v>358</v>
      </c>
      <c r="D136" s="67"/>
      <c r="E136" s="67"/>
      <c r="F136" s="199"/>
      <c r="G136" s="68"/>
      <c r="H136" s="68"/>
      <c r="I136" s="72"/>
      <c r="P136" s="194"/>
      <c r="Q136" s="198"/>
      <c r="R136" s="217"/>
    </row>
    <row r="137" spans="1:18" x14ac:dyDescent="0.3">
      <c r="A137" s="267" t="s">
        <v>361</v>
      </c>
      <c r="B137" s="263" t="s">
        <v>150</v>
      </c>
      <c r="C137" s="263" t="s">
        <v>358</v>
      </c>
      <c r="D137" s="67">
        <f t="shared" si="15"/>
        <v>15990</v>
      </c>
      <c r="E137" s="67">
        <f>[5]รวมปี!$S$192</f>
        <v>15990</v>
      </c>
      <c r="F137" s="199"/>
      <c r="G137" s="68"/>
      <c r="H137" s="68"/>
      <c r="I137" s="72"/>
      <c r="P137" s="194"/>
      <c r="Q137" s="198"/>
      <c r="R137" s="217"/>
    </row>
    <row r="138" spans="1:18" x14ac:dyDescent="0.3">
      <c r="A138" s="267"/>
      <c r="B138" s="263" t="s">
        <v>364</v>
      </c>
      <c r="C138" s="263" t="s">
        <v>358</v>
      </c>
      <c r="D138" s="67">
        <f t="shared" si="15"/>
        <v>235200</v>
      </c>
      <c r="E138" s="67">
        <v>0</v>
      </c>
      <c r="F138" s="68">
        <f>SUM([5]รวมปี!$S$220:$S$222)</f>
        <v>235200</v>
      </c>
      <c r="G138" s="68"/>
      <c r="H138" s="68"/>
      <c r="I138" s="72"/>
      <c r="P138" s="194"/>
      <c r="Q138" s="198"/>
      <c r="R138" s="217"/>
    </row>
    <row r="139" spans="1:18" x14ac:dyDescent="0.3">
      <c r="A139" s="267"/>
      <c r="B139" s="263" t="s">
        <v>365</v>
      </c>
      <c r="C139" s="263" t="s">
        <v>359</v>
      </c>
      <c r="D139" s="67"/>
      <c r="E139" s="67"/>
      <c r="F139" s="199"/>
      <c r="G139" s="68"/>
      <c r="H139" s="68"/>
      <c r="I139" s="72"/>
      <c r="P139" s="194"/>
      <c r="Q139" s="198"/>
    </row>
    <row r="140" spans="1:18" x14ac:dyDescent="0.3">
      <c r="A140" s="267" t="s">
        <v>362</v>
      </c>
      <c r="B140" s="263" t="s">
        <v>111</v>
      </c>
      <c r="C140" s="263" t="s">
        <v>358</v>
      </c>
      <c r="D140" s="67">
        <f t="shared" si="15"/>
        <v>0</v>
      </c>
      <c r="E140" s="67">
        <v>0</v>
      </c>
      <c r="F140" s="68">
        <v>0</v>
      </c>
      <c r="G140" s="68"/>
      <c r="H140" s="68"/>
      <c r="I140" s="72"/>
      <c r="O140" s="208"/>
      <c r="P140" s="194"/>
      <c r="Q140" s="198"/>
    </row>
    <row r="141" spans="1:18" x14ac:dyDescent="0.3">
      <c r="A141" s="267" t="s">
        <v>363</v>
      </c>
      <c r="B141" s="263" t="s">
        <v>117</v>
      </c>
      <c r="C141" s="263" t="s">
        <v>358</v>
      </c>
      <c r="D141" s="67">
        <f t="shared" si="15"/>
        <v>1048000</v>
      </c>
      <c r="E141" s="67">
        <f>[8]รวมทั้งปี!$F$123</f>
        <v>0</v>
      </c>
      <c r="F141" s="199">
        <f>SUM([5]รวมปี!$S$225:$S$226)</f>
        <v>968000</v>
      </c>
      <c r="G141" s="68">
        <f>[5]รวมปี!$S$230</f>
        <v>80000</v>
      </c>
      <c r="H141" s="68"/>
      <c r="I141" s="72"/>
      <c r="P141" s="194"/>
      <c r="Q141" s="198"/>
    </row>
    <row r="142" spans="1:18" x14ac:dyDescent="0.3">
      <c r="A142" s="267" t="s">
        <v>145</v>
      </c>
      <c r="B142" s="263" t="s">
        <v>145</v>
      </c>
      <c r="C142" s="263" t="s">
        <v>358</v>
      </c>
      <c r="D142" s="67"/>
      <c r="E142" s="67"/>
      <c r="F142" s="68"/>
      <c r="G142" s="68"/>
      <c r="H142" s="68"/>
      <c r="I142" s="72"/>
      <c r="P142" s="174"/>
      <c r="Q142" s="198"/>
    </row>
    <row r="143" spans="1:18" x14ac:dyDescent="0.3">
      <c r="A143" s="253"/>
      <c r="B143" s="264"/>
      <c r="C143" s="265" t="s">
        <v>359</v>
      </c>
      <c r="D143" s="67">
        <f t="shared" si="15"/>
        <v>0</v>
      </c>
      <c r="E143" s="176">
        <f>[8]รวมทั้งปี!$F$134</f>
        <v>0</v>
      </c>
      <c r="F143" s="218"/>
      <c r="G143" s="200">
        <f>SUM([7]งบแสดงผลการดำเนินงาน!$S$212)</f>
        <v>0</v>
      </c>
      <c r="H143" s="200"/>
      <c r="I143" s="72"/>
      <c r="P143" s="174"/>
      <c r="Q143" s="198"/>
    </row>
    <row r="144" spans="1:18" ht="19.5" thickBot="1" x14ac:dyDescent="0.35">
      <c r="A144" s="526" t="s">
        <v>67</v>
      </c>
      <c r="B144" s="527" t="s">
        <v>67</v>
      </c>
      <c r="C144" s="528">
        <f>SUM(C128:C143)</f>
        <v>0</v>
      </c>
      <c r="D144" s="69">
        <f>SUM(D128:D143)</f>
        <v>6901786.1600000001</v>
      </c>
      <c r="E144" s="177">
        <f>SUM(E129:E143)</f>
        <v>758941</v>
      </c>
      <c r="F144" s="177">
        <f>SUM(F129:F143)</f>
        <v>6035665.1600000001</v>
      </c>
      <c r="G144" s="177">
        <f>SUM(G129:G143)</f>
        <v>80000</v>
      </c>
      <c r="H144" s="177">
        <f>SUM(H129:H143)</f>
        <v>27180</v>
      </c>
      <c r="I144" s="188"/>
      <c r="P144" s="214"/>
      <c r="Q144" s="198"/>
    </row>
    <row r="145" spans="1:9" ht="19.5" thickTop="1" x14ac:dyDescent="0.3">
      <c r="A145" s="246"/>
      <c r="B145" s="186"/>
      <c r="C145" s="212"/>
      <c r="D145" s="212"/>
      <c r="E145" s="244"/>
      <c r="F145" s="207"/>
      <c r="G145" s="207"/>
      <c r="H145" s="207"/>
      <c r="I145" s="72"/>
    </row>
    <row r="146" spans="1:9" x14ac:dyDescent="0.3">
      <c r="A146" s="186"/>
      <c r="B146" s="186"/>
      <c r="C146" s="212"/>
      <c r="D146" s="212"/>
      <c r="E146" s="211"/>
      <c r="F146" s="72"/>
      <c r="G146" s="72"/>
      <c r="H146" s="72"/>
      <c r="I146" s="72"/>
    </row>
    <row r="147" spans="1:9" x14ac:dyDescent="0.3">
      <c r="A147" s="186"/>
      <c r="B147" s="186"/>
      <c r="C147" s="212"/>
      <c r="D147" s="212"/>
      <c r="E147" s="212"/>
      <c r="F147" s="72"/>
      <c r="G147" s="72"/>
      <c r="H147" s="72"/>
      <c r="I147" s="72"/>
    </row>
    <row r="148" spans="1:9" x14ac:dyDescent="0.3">
      <c r="A148" s="186"/>
      <c r="B148" s="186"/>
      <c r="C148" s="212"/>
      <c r="D148" s="212"/>
      <c r="E148" s="212"/>
      <c r="F148" s="72"/>
      <c r="G148" s="72"/>
      <c r="H148" s="72"/>
      <c r="I148" s="72"/>
    </row>
    <row r="149" spans="1:9" x14ac:dyDescent="0.3">
      <c r="A149" s="186"/>
      <c r="B149" s="247"/>
      <c r="C149" s="212"/>
      <c r="D149" s="212"/>
      <c r="E149" s="212"/>
      <c r="F149" s="72"/>
      <c r="G149" s="72"/>
      <c r="H149" s="72"/>
      <c r="I149" s="72"/>
    </row>
    <row r="150" spans="1:9" x14ac:dyDescent="0.3">
      <c r="A150" s="186"/>
      <c r="B150" s="186"/>
      <c r="C150" s="212"/>
      <c r="D150" s="212"/>
      <c r="E150" s="212"/>
      <c r="F150" s="72"/>
      <c r="G150" s="72"/>
      <c r="H150" s="72"/>
      <c r="I150" s="72"/>
    </row>
    <row r="151" spans="1:9" x14ac:dyDescent="0.3">
      <c r="A151" s="186"/>
      <c r="B151" s="186"/>
      <c r="C151" s="212"/>
      <c r="D151" s="212"/>
      <c r="E151" s="212"/>
      <c r="F151" s="72"/>
      <c r="G151" s="72"/>
      <c r="H151" s="72"/>
      <c r="I151" s="72"/>
    </row>
    <row r="152" spans="1:9" x14ac:dyDescent="0.3">
      <c r="A152" s="186"/>
      <c r="B152" s="186"/>
      <c r="C152" s="211"/>
      <c r="D152" s="211"/>
      <c r="E152" s="212"/>
      <c r="F152" s="72"/>
      <c r="G152" s="72"/>
      <c r="H152" s="72"/>
      <c r="I152" s="72"/>
    </row>
    <row r="153" spans="1:9" x14ac:dyDescent="0.3">
      <c r="A153" s="186"/>
      <c r="B153" s="186"/>
      <c r="C153" s="212"/>
      <c r="D153" s="212"/>
      <c r="E153" s="212"/>
      <c r="F153" s="72"/>
      <c r="G153" s="72"/>
      <c r="H153" s="72"/>
      <c r="I153" s="72"/>
    </row>
    <row r="154" spans="1:9" x14ac:dyDescent="0.3">
      <c r="A154" s="186"/>
      <c r="B154" s="186"/>
      <c r="C154" s="239"/>
      <c r="D154" s="211"/>
      <c r="E154" s="212"/>
      <c r="F154" s="72"/>
      <c r="G154" s="72"/>
      <c r="H154" s="72"/>
      <c r="I154" s="72"/>
    </row>
    <row r="155" spans="1:9" x14ac:dyDescent="0.3">
      <c r="A155" s="186"/>
      <c r="B155" s="189"/>
      <c r="C155" s="211"/>
      <c r="D155" s="211"/>
      <c r="E155" s="212"/>
      <c r="F155" s="72"/>
      <c r="G155" s="72"/>
      <c r="H155" s="72"/>
      <c r="I155" s="72"/>
    </row>
    <row r="156" spans="1:9" x14ac:dyDescent="0.3">
      <c r="A156" s="186"/>
      <c r="B156" s="189"/>
      <c r="C156" s="212"/>
      <c r="D156" s="212"/>
      <c r="E156" s="212"/>
      <c r="F156" s="72"/>
      <c r="G156" s="72"/>
      <c r="H156" s="72"/>
      <c r="I156" s="72"/>
    </row>
    <row r="157" spans="1:9" x14ac:dyDescent="0.3">
      <c r="A157" s="186"/>
      <c r="B157" s="189"/>
      <c r="C157" s="212"/>
      <c r="D157" s="212"/>
      <c r="E157" s="212"/>
      <c r="F157" s="72"/>
      <c r="G157" s="72"/>
      <c r="H157" s="72"/>
      <c r="I157" s="72"/>
    </row>
    <row r="158" spans="1:9" x14ac:dyDescent="0.3">
      <c r="A158" s="186"/>
      <c r="B158" s="189"/>
      <c r="C158" s="212"/>
      <c r="D158" s="212"/>
      <c r="E158" s="212"/>
      <c r="F158" s="72"/>
      <c r="G158" s="72"/>
      <c r="H158" s="72"/>
      <c r="I158" s="72"/>
    </row>
    <row r="159" spans="1:9" x14ac:dyDescent="0.3">
      <c r="A159" s="186"/>
      <c r="B159" s="189"/>
      <c r="C159" s="212"/>
      <c r="D159" s="212"/>
      <c r="E159" s="212"/>
      <c r="F159" s="72"/>
      <c r="G159" s="72"/>
      <c r="H159" s="72"/>
      <c r="I159" s="72"/>
    </row>
    <row r="160" spans="1:9" x14ac:dyDescent="0.3">
      <c r="A160" s="186"/>
      <c r="B160" s="189"/>
      <c r="C160" s="212"/>
      <c r="D160" s="212"/>
      <c r="E160" s="212"/>
      <c r="F160" s="72"/>
      <c r="G160" s="72"/>
      <c r="H160" s="72"/>
      <c r="I160" s="72"/>
    </row>
    <row r="161" spans="1:17" x14ac:dyDescent="0.3">
      <c r="A161" s="186"/>
      <c r="B161" s="189"/>
      <c r="C161" s="212"/>
      <c r="D161" s="212"/>
      <c r="E161" s="212"/>
      <c r="F161" s="72"/>
      <c r="G161" s="72"/>
      <c r="H161" s="72"/>
      <c r="I161" s="72"/>
    </row>
    <row r="162" spans="1:17" x14ac:dyDescent="0.3">
      <c r="A162" s="186"/>
      <c r="B162" s="189"/>
      <c r="C162" s="212"/>
      <c r="D162" s="212"/>
      <c r="E162" s="212"/>
      <c r="F162" s="72"/>
      <c r="G162" s="72"/>
      <c r="H162" s="72"/>
      <c r="I162" s="72"/>
    </row>
    <row r="163" spans="1:17" x14ac:dyDescent="0.3">
      <c r="A163" s="186"/>
      <c r="B163" s="189"/>
      <c r="C163" s="212"/>
      <c r="D163" s="212"/>
      <c r="E163" s="212"/>
      <c r="F163" s="72"/>
      <c r="G163" s="72"/>
      <c r="H163" s="72"/>
      <c r="I163" s="72"/>
    </row>
    <row r="164" spans="1:17" s="17" customFormat="1" ht="23.25" x14ac:dyDescent="0.35">
      <c r="A164" s="524" t="s">
        <v>0</v>
      </c>
      <c r="B164" s="524"/>
      <c r="C164" s="524"/>
      <c r="D164" s="524"/>
      <c r="E164" s="524"/>
      <c r="F164" s="524"/>
      <c r="G164" s="524"/>
      <c r="H164" s="524"/>
      <c r="I164" s="85"/>
    </row>
    <row r="165" spans="1:17" s="17" customFormat="1" ht="23.25" x14ac:dyDescent="0.35">
      <c r="A165" s="524" t="s">
        <v>329</v>
      </c>
      <c r="B165" s="524"/>
      <c r="C165" s="524"/>
      <c r="D165" s="524"/>
      <c r="E165" s="524"/>
      <c r="F165" s="524"/>
      <c r="G165" s="524"/>
      <c r="H165" s="524"/>
      <c r="I165" s="85"/>
    </row>
    <row r="166" spans="1:17" s="17" customFormat="1" ht="23.25" x14ac:dyDescent="0.35">
      <c r="A166" s="529" t="s">
        <v>479</v>
      </c>
      <c r="B166" s="529"/>
      <c r="C166" s="529"/>
      <c r="D166" s="529"/>
      <c r="E166" s="529"/>
      <c r="F166" s="529"/>
      <c r="G166" s="529"/>
      <c r="H166" s="529"/>
      <c r="I166" s="216"/>
    </row>
    <row r="167" spans="1:17" s="269" customFormat="1" ht="56.25" x14ac:dyDescent="0.3">
      <c r="A167" s="256" t="s">
        <v>356</v>
      </c>
      <c r="B167" s="257" t="s">
        <v>105</v>
      </c>
      <c r="C167" s="258" t="s">
        <v>102</v>
      </c>
      <c r="D167" s="258" t="s">
        <v>67</v>
      </c>
      <c r="E167" s="258" t="s">
        <v>325</v>
      </c>
      <c r="F167" s="258" t="s">
        <v>330</v>
      </c>
      <c r="G167" s="258" t="s">
        <v>331</v>
      </c>
      <c r="H167" s="258" t="s">
        <v>332</v>
      </c>
      <c r="I167" s="275"/>
      <c r="P167" s="270"/>
      <c r="Q167" s="271"/>
    </row>
    <row r="168" spans="1:17" x14ac:dyDescent="0.3">
      <c r="A168" s="252" t="s">
        <v>146</v>
      </c>
      <c r="B168" s="254"/>
      <c r="C168" s="250"/>
      <c r="D168" s="165"/>
      <c r="E168" s="165"/>
      <c r="F168" s="166"/>
      <c r="G168" s="166"/>
      <c r="H168" s="166"/>
      <c r="I168" s="72"/>
      <c r="P168" s="194"/>
      <c r="Q168" s="195"/>
    </row>
    <row r="169" spans="1:17" x14ac:dyDescent="0.3">
      <c r="A169" s="266" t="s">
        <v>357</v>
      </c>
      <c r="B169" s="261" t="s">
        <v>147</v>
      </c>
      <c r="C169" s="481" t="s">
        <v>358</v>
      </c>
      <c r="D169" s="67"/>
      <c r="E169" s="67"/>
      <c r="F169" s="68"/>
      <c r="G169" s="68"/>
      <c r="H169" s="68"/>
      <c r="I169" s="72"/>
      <c r="P169" s="194"/>
      <c r="Q169" s="195"/>
    </row>
    <row r="170" spans="1:17" x14ac:dyDescent="0.3">
      <c r="A170" s="267"/>
      <c r="B170" s="263" t="s">
        <v>148</v>
      </c>
      <c r="C170" s="263" t="s">
        <v>358</v>
      </c>
      <c r="D170" s="67"/>
      <c r="E170" s="67"/>
      <c r="F170" s="68"/>
      <c r="G170" s="68"/>
      <c r="H170" s="68"/>
      <c r="I170" s="72"/>
      <c r="P170" s="194"/>
      <c r="Q170" s="195"/>
    </row>
    <row r="171" spans="1:17" x14ac:dyDescent="0.3">
      <c r="A171" s="267"/>
      <c r="B171" s="263"/>
      <c r="C171" s="263" t="s">
        <v>359</v>
      </c>
      <c r="D171" s="67"/>
      <c r="E171" s="67"/>
      <c r="F171" s="68"/>
      <c r="G171" s="68"/>
      <c r="H171" s="68"/>
      <c r="I171" s="72"/>
      <c r="P171" s="194"/>
      <c r="Q171" s="195"/>
    </row>
    <row r="172" spans="1:17" x14ac:dyDescent="0.3">
      <c r="A172" s="267" t="s">
        <v>360</v>
      </c>
      <c r="B172" s="263" t="s">
        <v>109</v>
      </c>
      <c r="C172" s="263" t="s">
        <v>358</v>
      </c>
      <c r="D172" s="67"/>
      <c r="E172" s="67"/>
      <c r="F172" s="68"/>
      <c r="G172" s="68"/>
      <c r="H172" s="68"/>
      <c r="I172" s="72"/>
      <c r="P172" s="194"/>
      <c r="Q172" s="195"/>
    </row>
    <row r="173" spans="1:17" x14ac:dyDescent="0.3">
      <c r="A173" s="267"/>
      <c r="B173" s="263"/>
      <c r="C173" s="263" t="s">
        <v>359</v>
      </c>
      <c r="D173" s="67"/>
      <c r="E173" s="67"/>
      <c r="F173" s="68"/>
      <c r="G173" s="68"/>
      <c r="H173" s="68"/>
      <c r="I173" s="72"/>
      <c r="P173" s="194"/>
      <c r="Q173" s="195"/>
    </row>
    <row r="174" spans="1:17" x14ac:dyDescent="0.3">
      <c r="A174" s="267"/>
      <c r="B174" s="263" t="s">
        <v>112</v>
      </c>
      <c r="C174" s="263" t="s">
        <v>358</v>
      </c>
      <c r="D174" s="67"/>
      <c r="E174" s="67"/>
      <c r="F174" s="68"/>
      <c r="G174" s="68"/>
      <c r="H174" s="68"/>
      <c r="I174" s="48"/>
      <c r="P174" s="194"/>
      <c r="Q174" s="195"/>
    </row>
    <row r="175" spans="1:17" x14ac:dyDescent="0.3">
      <c r="A175" s="267"/>
      <c r="B175" s="263"/>
      <c r="C175" s="263" t="s">
        <v>359</v>
      </c>
      <c r="D175" s="67"/>
      <c r="E175" s="67"/>
      <c r="F175" s="68"/>
      <c r="G175" s="68"/>
      <c r="H175" s="68"/>
      <c r="I175" s="72"/>
      <c r="P175" s="194"/>
      <c r="Q175" s="195"/>
    </row>
    <row r="176" spans="1:17" x14ac:dyDescent="0.3">
      <c r="A176" s="267"/>
      <c r="B176" s="263" t="s">
        <v>110</v>
      </c>
      <c r="C176" s="263" t="s">
        <v>358</v>
      </c>
      <c r="D176" s="67">
        <f>SUM(E176:H176)</f>
        <v>12000</v>
      </c>
      <c r="E176" s="67">
        <f>SUM([5]รวมปี!$S$253:$S$255)</f>
        <v>12000</v>
      </c>
      <c r="F176" s="68"/>
      <c r="G176" s="68"/>
      <c r="H176" s="68"/>
      <c r="I176" s="72"/>
      <c r="P176" s="194"/>
      <c r="Q176" s="195"/>
    </row>
    <row r="177" spans="1:17" x14ac:dyDescent="0.3">
      <c r="A177" s="267"/>
      <c r="B177" s="263" t="s">
        <v>149</v>
      </c>
      <c r="C177" s="263" t="s">
        <v>358</v>
      </c>
      <c r="D177" s="67"/>
      <c r="E177" s="67"/>
      <c r="F177" s="68"/>
      <c r="G177" s="68"/>
      <c r="H177" s="68"/>
      <c r="I177" s="72"/>
      <c r="P177" s="194"/>
      <c r="Q177" s="195"/>
    </row>
    <row r="178" spans="1:17" x14ac:dyDescent="0.3">
      <c r="A178" s="267" t="s">
        <v>361</v>
      </c>
      <c r="B178" s="263" t="s">
        <v>150</v>
      </c>
      <c r="C178" s="263" t="s">
        <v>358</v>
      </c>
      <c r="D178" s="67">
        <f>SUM(E178:H178)</f>
        <v>53000</v>
      </c>
      <c r="E178" s="67"/>
      <c r="F178" s="68"/>
      <c r="G178" s="68">
        <f>[5]รวมปี!$S$263</f>
        <v>53000</v>
      </c>
      <c r="H178" s="68"/>
      <c r="I178" s="72"/>
      <c r="P178" s="194"/>
      <c r="Q178" s="198"/>
    </row>
    <row r="179" spans="1:17" x14ac:dyDescent="0.3">
      <c r="A179" s="267"/>
      <c r="B179" s="263" t="s">
        <v>364</v>
      </c>
      <c r="C179" s="263" t="s">
        <v>358</v>
      </c>
      <c r="D179" s="67"/>
      <c r="E179" s="67"/>
      <c r="F179" s="68"/>
      <c r="G179" s="68"/>
      <c r="H179" s="68"/>
      <c r="I179" s="72"/>
      <c r="P179" s="194"/>
      <c r="Q179" s="195"/>
    </row>
    <row r="180" spans="1:17" x14ac:dyDescent="0.3">
      <c r="A180" s="267"/>
      <c r="B180" s="263" t="s">
        <v>365</v>
      </c>
      <c r="C180" s="263" t="s">
        <v>359</v>
      </c>
      <c r="D180" s="67"/>
      <c r="E180" s="67"/>
      <c r="F180" s="68"/>
      <c r="G180" s="68"/>
      <c r="H180" s="68"/>
      <c r="I180" s="72"/>
      <c r="P180" s="194"/>
      <c r="Q180" s="195"/>
    </row>
    <row r="181" spans="1:17" x14ac:dyDescent="0.3">
      <c r="A181" s="267" t="s">
        <v>362</v>
      </c>
      <c r="B181" s="263" t="s">
        <v>111</v>
      </c>
      <c r="C181" s="263" t="s">
        <v>358</v>
      </c>
      <c r="D181" s="67"/>
      <c r="E181" s="67"/>
      <c r="F181" s="68"/>
      <c r="G181" s="68"/>
      <c r="H181" s="68"/>
      <c r="I181" s="72"/>
      <c r="P181" s="194"/>
      <c r="Q181" s="195"/>
    </row>
    <row r="182" spans="1:17" x14ac:dyDescent="0.3">
      <c r="A182" s="267" t="s">
        <v>363</v>
      </c>
      <c r="B182" s="263" t="s">
        <v>117</v>
      </c>
      <c r="C182" s="263" t="s">
        <v>358</v>
      </c>
      <c r="D182" s="67">
        <f>SUM(E182:H182)</f>
        <v>40000</v>
      </c>
      <c r="E182" s="67"/>
      <c r="F182" s="68"/>
      <c r="G182" s="68">
        <f>SUM([5]รวมปี!$S$266:$S$268)</f>
        <v>40000</v>
      </c>
      <c r="H182" s="68"/>
      <c r="I182" s="72"/>
      <c r="P182" s="194"/>
      <c r="Q182" s="195"/>
    </row>
    <row r="183" spans="1:17" x14ac:dyDescent="0.3">
      <c r="A183" s="267" t="s">
        <v>145</v>
      </c>
      <c r="B183" s="263" t="s">
        <v>145</v>
      </c>
      <c r="C183" s="263" t="s">
        <v>358</v>
      </c>
      <c r="D183" s="67"/>
      <c r="E183" s="67"/>
      <c r="F183" s="68"/>
      <c r="G183" s="68"/>
      <c r="H183" s="68"/>
      <c r="I183" s="72"/>
      <c r="P183" s="174"/>
      <c r="Q183" s="195"/>
    </row>
    <row r="184" spans="1:17" x14ac:dyDescent="0.3">
      <c r="A184" s="253"/>
      <c r="B184" s="264"/>
      <c r="C184" s="265" t="s">
        <v>359</v>
      </c>
      <c r="D184" s="243"/>
      <c r="E184" s="176"/>
      <c r="F184" s="200"/>
      <c r="G184" s="200"/>
      <c r="H184" s="200"/>
      <c r="I184" s="72"/>
      <c r="P184" s="174"/>
      <c r="Q184" s="195"/>
    </row>
    <row r="185" spans="1:17" ht="19.5" thickBot="1" x14ac:dyDescent="0.35">
      <c r="A185" s="526" t="s">
        <v>67</v>
      </c>
      <c r="B185" s="527" t="s">
        <v>67</v>
      </c>
      <c r="C185" s="528">
        <f>SUM(C169:C184)</f>
        <v>0</v>
      </c>
      <c r="D185" s="70">
        <f>SUM(D175:D184)</f>
        <v>105000</v>
      </c>
      <c r="E185" s="70">
        <f>SUM(E175:E184)</f>
        <v>12000</v>
      </c>
      <c r="F185" s="70">
        <f>SUM(F175:F184)</f>
        <v>0</v>
      </c>
      <c r="G185" s="69">
        <f>SUM(G175:G184)</f>
        <v>93000</v>
      </c>
      <c r="H185" s="70">
        <f>SUM(H175:H184)</f>
        <v>0</v>
      </c>
      <c r="I185" s="188"/>
      <c r="P185" s="214"/>
      <c r="Q185" s="198"/>
    </row>
    <row r="186" spans="1:17" ht="19.5" thickTop="1" x14ac:dyDescent="0.3">
      <c r="A186" s="246"/>
      <c r="B186" s="186"/>
      <c r="C186" s="212"/>
      <c r="D186" s="212"/>
      <c r="E186" s="248"/>
      <c r="F186" s="207"/>
      <c r="G186" s="207"/>
      <c r="H186" s="207"/>
      <c r="I186" s="72"/>
    </row>
    <row r="187" spans="1:17" x14ac:dyDescent="0.3">
      <c r="A187" s="186"/>
      <c r="B187" s="186"/>
      <c r="C187" s="212"/>
      <c r="D187" s="212"/>
      <c r="E187" s="212"/>
      <c r="F187" s="72"/>
      <c r="G187" s="72"/>
      <c r="H187" s="72"/>
      <c r="I187" s="72"/>
    </row>
    <row r="188" spans="1:17" x14ac:dyDescent="0.3">
      <c r="A188" s="186"/>
      <c r="B188" s="186"/>
      <c r="C188" s="212"/>
      <c r="D188" s="212"/>
      <c r="E188" s="212"/>
      <c r="F188" s="72"/>
      <c r="G188" s="72"/>
      <c r="H188" s="72"/>
      <c r="I188" s="72"/>
    </row>
    <row r="189" spans="1:17" x14ac:dyDescent="0.3">
      <c r="A189" s="186"/>
      <c r="B189" s="186"/>
      <c r="C189" s="212"/>
      <c r="D189" s="212"/>
      <c r="E189" s="212"/>
      <c r="F189" s="72"/>
      <c r="G189" s="72"/>
      <c r="H189" s="72"/>
      <c r="I189" s="72"/>
    </row>
    <row r="190" spans="1:17" x14ac:dyDescent="0.3">
      <c r="A190" s="186"/>
      <c r="B190" s="247"/>
      <c r="C190" s="212"/>
      <c r="D190" s="212"/>
      <c r="E190" s="212"/>
      <c r="F190" s="72"/>
      <c r="G190" s="72"/>
      <c r="H190" s="72"/>
      <c r="I190" s="72"/>
    </row>
    <row r="191" spans="1:17" x14ac:dyDescent="0.3">
      <c r="A191" s="186"/>
      <c r="B191" s="186"/>
      <c r="C191" s="212"/>
      <c r="D191" s="212"/>
      <c r="E191" s="212"/>
      <c r="F191" s="72"/>
      <c r="G191" s="72"/>
      <c r="H191" s="72"/>
      <c r="I191" s="72"/>
    </row>
    <row r="192" spans="1:17" x14ac:dyDescent="0.3">
      <c r="A192" s="186"/>
      <c r="B192" s="186"/>
      <c r="C192" s="212"/>
      <c r="D192" s="212"/>
      <c r="E192" s="212"/>
      <c r="F192" s="72"/>
      <c r="G192" s="72"/>
      <c r="H192" s="72"/>
      <c r="I192" s="72"/>
    </row>
    <row r="193" spans="1:17" x14ac:dyDescent="0.3">
      <c r="A193" s="186"/>
      <c r="B193" s="186"/>
      <c r="C193" s="211"/>
      <c r="D193" s="211"/>
      <c r="E193" s="212"/>
      <c r="F193" s="72"/>
      <c r="G193" s="72"/>
      <c r="H193" s="72"/>
      <c r="I193" s="72"/>
    </row>
    <row r="194" spans="1:17" x14ac:dyDescent="0.3">
      <c r="A194" s="186"/>
      <c r="B194" s="186"/>
      <c r="C194" s="212"/>
      <c r="D194" s="212"/>
      <c r="E194" s="212"/>
      <c r="F194" s="72"/>
      <c r="G194" s="72"/>
      <c r="H194" s="72"/>
      <c r="I194" s="72"/>
    </row>
    <row r="195" spans="1:17" x14ac:dyDescent="0.3">
      <c r="A195" s="186"/>
      <c r="B195" s="186"/>
      <c r="C195" s="239"/>
      <c r="D195" s="239"/>
      <c r="E195" s="212"/>
      <c r="F195" s="72"/>
      <c r="G195" s="72"/>
      <c r="H195" s="72"/>
      <c r="I195" s="72"/>
    </row>
    <row r="196" spans="1:17" x14ac:dyDescent="0.3">
      <c r="A196" s="186"/>
      <c r="B196" s="189"/>
      <c r="C196" s="211"/>
      <c r="D196" s="211"/>
      <c r="E196" s="212"/>
      <c r="F196" s="72"/>
      <c r="G196" s="72"/>
      <c r="H196" s="72"/>
      <c r="I196" s="72"/>
    </row>
    <row r="197" spans="1:17" x14ac:dyDescent="0.3">
      <c r="A197" s="186"/>
      <c r="B197" s="189"/>
      <c r="C197" s="212"/>
      <c r="D197" s="212"/>
      <c r="E197" s="212"/>
      <c r="F197" s="72"/>
      <c r="G197" s="72"/>
      <c r="H197" s="72"/>
      <c r="I197" s="72"/>
    </row>
    <row r="198" spans="1:17" x14ac:dyDescent="0.3">
      <c r="A198" s="186"/>
      <c r="B198" s="189"/>
      <c r="C198" s="212"/>
      <c r="D198" s="212"/>
      <c r="E198" s="212"/>
      <c r="F198" s="72"/>
      <c r="G198" s="72"/>
      <c r="H198" s="72"/>
      <c r="I198" s="72"/>
    </row>
    <row r="199" spans="1:17" x14ac:dyDescent="0.3">
      <c r="A199" s="186"/>
      <c r="B199" s="189"/>
      <c r="C199" s="212"/>
      <c r="D199" s="212"/>
      <c r="E199" s="212"/>
      <c r="F199" s="72"/>
      <c r="G199" s="72"/>
      <c r="H199" s="72"/>
      <c r="I199" s="72"/>
    </row>
    <row r="200" spans="1:17" x14ac:dyDescent="0.3">
      <c r="A200" s="186"/>
      <c r="B200" s="189"/>
      <c r="C200" s="212"/>
      <c r="D200" s="212"/>
      <c r="E200" s="212"/>
      <c r="F200" s="72"/>
      <c r="G200" s="72"/>
      <c r="H200" s="72"/>
      <c r="I200" s="72"/>
    </row>
    <row r="201" spans="1:17" x14ac:dyDescent="0.3">
      <c r="A201" s="186"/>
      <c r="B201" s="189"/>
      <c r="C201" s="212"/>
      <c r="D201" s="212"/>
      <c r="E201" s="212"/>
      <c r="F201" s="72"/>
      <c r="G201" s="72"/>
      <c r="H201" s="72"/>
      <c r="I201" s="72"/>
    </row>
    <row r="202" spans="1:17" x14ac:dyDescent="0.3">
      <c r="A202" s="186"/>
      <c r="B202" s="189"/>
      <c r="C202" s="212"/>
      <c r="D202" s="212"/>
      <c r="E202" s="212"/>
      <c r="F202" s="72"/>
      <c r="G202" s="72"/>
      <c r="H202" s="72"/>
      <c r="I202" s="72"/>
    </row>
    <row r="203" spans="1:17" x14ac:dyDescent="0.3">
      <c r="A203" s="186"/>
      <c r="B203" s="189"/>
      <c r="C203" s="212"/>
      <c r="D203" s="212"/>
      <c r="E203" s="212"/>
      <c r="F203" s="72"/>
      <c r="G203" s="72"/>
      <c r="H203" s="72"/>
      <c r="I203" s="72"/>
    </row>
    <row r="204" spans="1:17" s="17" customFormat="1" ht="23.25" x14ac:dyDescent="0.35">
      <c r="A204" s="524" t="s">
        <v>0</v>
      </c>
      <c r="B204" s="524"/>
      <c r="C204" s="524"/>
      <c r="D204" s="524"/>
      <c r="E204" s="524"/>
      <c r="F204" s="524"/>
      <c r="G204" s="219"/>
      <c r="H204" s="219"/>
      <c r="I204" s="219"/>
      <c r="J204" s="220"/>
    </row>
    <row r="205" spans="1:17" s="17" customFormat="1" ht="23.25" x14ac:dyDescent="0.35">
      <c r="A205" s="524" t="s">
        <v>333</v>
      </c>
      <c r="B205" s="524"/>
      <c r="C205" s="524"/>
      <c r="D205" s="524"/>
      <c r="E205" s="524"/>
      <c r="F205" s="524"/>
      <c r="G205" s="219"/>
      <c r="H205" s="219"/>
      <c r="I205" s="219"/>
      <c r="J205" s="220"/>
    </row>
    <row r="206" spans="1:17" s="17" customFormat="1" ht="23.25" x14ac:dyDescent="0.35">
      <c r="A206" s="524" t="s">
        <v>479</v>
      </c>
      <c r="B206" s="524"/>
      <c r="C206" s="524"/>
      <c r="D206" s="524"/>
      <c r="E206" s="524"/>
      <c r="F206" s="524"/>
      <c r="G206" s="221"/>
      <c r="H206" s="221"/>
      <c r="I206" s="221"/>
      <c r="J206" s="220"/>
    </row>
    <row r="207" spans="1:17" s="269" customFormat="1" ht="37.5" x14ac:dyDescent="0.3">
      <c r="A207" s="256" t="s">
        <v>356</v>
      </c>
      <c r="B207" s="257" t="s">
        <v>105</v>
      </c>
      <c r="C207" s="258" t="s">
        <v>102</v>
      </c>
      <c r="D207" s="258" t="s">
        <v>67</v>
      </c>
      <c r="E207" s="258" t="s">
        <v>325</v>
      </c>
      <c r="F207" s="258" t="s">
        <v>334</v>
      </c>
      <c r="G207" s="275"/>
      <c r="H207" s="275"/>
      <c r="I207" s="275"/>
      <c r="J207" s="276"/>
      <c r="P207" s="270"/>
      <c r="Q207" s="271"/>
    </row>
    <row r="208" spans="1:17" x14ac:dyDescent="0.3">
      <c r="A208" s="252" t="s">
        <v>146</v>
      </c>
      <c r="B208" s="254"/>
      <c r="C208" s="250"/>
      <c r="D208" s="165"/>
      <c r="E208" s="165"/>
      <c r="F208" s="166"/>
      <c r="G208" s="72"/>
      <c r="H208" s="72"/>
      <c r="I208" s="72"/>
      <c r="J208" s="222"/>
      <c r="P208" s="194"/>
      <c r="Q208" s="195"/>
    </row>
    <row r="209" spans="1:18" x14ac:dyDescent="0.3">
      <c r="A209" s="266" t="s">
        <v>357</v>
      </c>
      <c r="B209" s="261" t="s">
        <v>147</v>
      </c>
      <c r="C209" s="481" t="s">
        <v>358</v>
      </c>
      <c r="D209" s="67"/>
      <c r="E209" s="67"/>
      <c r="F209" s="68"/>
      <c r="G209" s="72"/>
      <c r="H209" s="72"/>
      <c r="I209" s="72"/>
      <c r="J209" s="222"/>
      <c r="P209" s="194"/>
      <c r="Q209" s="195"/>
    </row>
    <row r="210" spans="1:18" x14ac:dyDescent="0.3">
      <c r="A210" s="267"/>
      <c r="B210" s="263" t="s">
        <v>148</v>
      </c>
      <c r="C210" s="263" t="s">
        <v>358</v>
      </c>
      <c r="D210" s="67"/>
      <c r="E210" s="67"/>
      <c r="F210" s="68"/>
      <c r="G210" s="72"/>
      <c r="H210" s="72"/>
      <c r="I210" s="72"/>
      <c r="J210" s="222"/>
      <c r="P210" s="194"/>
      <c r="Q210" s="195"/>
    </row>
    <row r="211" spans="1:18" x14ac:dyDescent="0.3">
      <c r="A211" s="267"/>
      <c r="B211" s="263"/>
      <c r="C211" s="263" t="s">
        <v>359</v>
      </c>
      <c r="D211" s="67"/>
      <c r="E211" s="67"/>
      <c r="F211" s="68"/>
      <c r="G211" s="72"/>
      <c r="H211" s="72"/>
      <c r="I211" s="72"/>
      <c r="J211" s="222"/>
      <c r="P211" s="194"/>
      <c r="Q211" s="195"/>
    </row>
    <row r="212" spans="1:18" x14ac:dyDescent="0.3">
      <c r="A212" s="267" t="s">
        <v>360</v>
      </c>
      <c r="B212" s="263" t="s">
        <v>109</v>
      </c>
      <c r="C212" s="263" t="s">
        <v>358</v>
      </c>
      <c r="D212" s="67"/>
      <c r="E212" s="67"/>
      <c r="F212" s="68"/>
      <c r="G212" s="72"/>
      <c r="H212" s="72"/>
      <c r="I212" s="72"/>
      <c r="J212" s="222"/>
      <c r="P212" s="194"/>
      <c r="Q212" s="195"/>
    </row>
    <row r="213" spans="1:18" x14ac:dyDescent="0.3">
      <c r="A213" s="267"/>
      <c r="B213" s="263"/>
      <c r="C213" s="263" t="s">
        <v>359</v>
      </c>
      <c r="D213" s="67"/>
      <c r="E213" s="67"/>
      <c r="F213" s="68"/>
      <c r="G213" s="72"/>
      <c r="H213" s="72"/>
      <c r="I213" s="72"/>
      <c r="J213" s="222"/>
      <c r="P213" s="194"/>
      <c r="Q213" s="195"/>
    </row>
    <row r="214" spans="1:18" x14ac:dyDescent="0.3">
      <c r="A214" s="267"/>
      <c r="B214" s="263" t="s">
        <v>112</v>
      </c>
      <c r="C214" s="263" t="s">
        <v>358</v>
      </c>
      <c r="D214" s="67">
        <f>SUM(E214:F214)</f>
        <v>148080</v>
      </c>
      <c r="E214" s="67"/>
      <c r="F214" s="209">
        <f>SUM([5]รวมปี!$S$275:$S$278)</f>
        <v>148080</v>
      </c>
      <c r="G214" s="48"/>
      <c r="H214" s="48"/>
      <c r="I214" s="48"/>
      <c r="J214" s="48"/>
      <c r="P214" s="194"/>
      <c r="Q214" s="195"/>
    </row>
    <row r="215" spans="1:18" x14ac:dyDescent="0.3">
      <c r="A215" s="267"/>
      <c r="B215" s="263"/>
      <c r="C215" s="263" t="s">
        <v>359</v>
      </c>
      <c r="D215" s="67"/>
      <c r="E215" s="67"/>
      <c r="F215" s="68"/>
      <c r="G215" s="72"/>
      <c r="H215" s="72"/>
      <c r="I215" s="72"/>
      <c r="J215" s="222"/>
      <c r="P215" s="194"/>
      <c r="Q215" s="195"/>
    </row>
    <row r="216" spans="1:18" x14ac:dyDescent="0.3">
      <c r="A216" s="267"/>
      <c r="B216" s="263" t="s">
        <v>110</v>
      </c>
      <c r="C216" s="263" t="s">
        <v>358</v>
      </c>
      <c r="D216" s="67"/>
      <c r="E216" s="67"/>
      <c r="F216" s="68"/>
      <c r="G216" s="72"/>
      <c r="H216" s="72"/>
      <c r="I216" s="72"/>
      <c r="J216" s="222"/>
      <c r="P216" s="194"/>
      <c r="Q216" s="198"/>
    </row>
    <row r="217" spans="1:18" x14ac:dyDescent="0.3">
      <c r="A217" s="267"/>
      <c r="B217" s="263" t="s">
        <v>149</v>
      </c>
      <c r="C217" s="263" t="s">
        <v>358</v>
      </c>
      <c r="D217" s="67"/>
      <c r="E217" s="67"/>
      <c r="F217" s="68"/>
      <c r="G217" s="72"/>
      <c r="H217" s="72"/>
      <c r="I217" s="72"/>
      <c r="J217" s="222"/>
      <c r="P217" s="194"/>
      <c r="Q217" s="198"/>
      <c r="R217" s="168"/>
    </row>
    <row r="218" spans="1:18" x14ac:dyDescent="0.3">
      <c r="A218" s="267" t="s">
        <v>361</v>
      </c>
      <c r="B218" s="263" t="s">
        <v>150</v>
      </c>
      <c r="C218" s="263" t="s">
        <v>358</v>
      </c>
      <c r="D218" s="67"/>
      <c r="E218" s="67"/>
      <c r="F218" s="197"/>
      <c r="G218" s="72"/>
      <c r="H218" s="72"/>
      <c r="I218" s="72"/>
      <c r="J218" s="222"/>
      <c r="P218" s="194"/>
      <c r="Q218" s="198"/>
    </row>
    <row r="219" spans="1:18" x14ac:dyDescent="0.3">
      <c r="A219" s="267"/>
      <c r="B219" s="263" t="s">
        <v>364</v>
      </c>
      <c r="C219" s="263" t="s">
        <v>358</v>
      </c>
      <c r="D219" s="67"/>
      <c r="E219" s="67"/>
      <c r="F219" s="67"/>
      <c r="G219" s="72"/>
      <c r="H219" s="72"/>
      <c r="I219" s="72"/>
      <c r="J219" s="222"/>
      <c r="P219" s="194"/>
      <c r="Q219" s="198"/>
      <c r="R219" s="217"/>
    </row>
    <row r="220" spans="1:18" x14ac:dyDescent="0.3">
      <c r="A220" s="267"/>
      <c r="B220" s="263" t="s">
        <v>365</v>
      </c>
      <c r="C220" s="263" t="s">
        <v>359</v>
      </c>
      <c r="D220" s="67"/>
      <c r="E220" s="67"/>
      <c r="F220" s="68"/>
      <c r="G220" s="72"/>
      <c r="H220" s="72"/>
      <c r="I220" s="72"/>
      <c r="J220" s="222"/>
      <c r="P220" s="194"/>
      <c r="Q220" s="198"/>
      <c r="R220" s="208"/>
    </row>
    <row r="221" spans="1:18" x14ac:dyDescent="0.3">
      <c r="A221" s="267" t="s">
        <v>362</v>
      </c>
      <c r="B221" s="263" t="s">
        <v>111</v>
      </c>
      <c r="C221" s="263" t="s">
        <v>358</v>
      </c>
      <c r="D221" s="67"/>
      <c r="E221" s="67"/>
      <c r="F221" s="68"/>
      <c r="G221" s="72"/>
      <c r="H221" s="72"/>
      <c r="I221" s="72"/>
      <c r="J221" s="222"/>
      <c r="P221" s="194"/>
      <c r="Q221" s="198"/>
      <c r="R221" s="208"/>
    </row>
    <row r="222" spans="1:18" x14ac:dyDescent="0.3">
      <c r="A222" s="267" t="s">
        <v>363</v>
      </c>
      <c r="B222" s="263" t="s">
        <v>117</v>
      </c>
      <c r="C222" s="263" t="s">
        <v>358</v>
      </c>
      <c r="D222" s="67"/>
      <c r="E222" s="67"/>
      <c r="F222" s="68"/>
      <c r="G222" s="72"/>
      <c r="H222" s="72"/>
      <c r="I222" s="72"/>
      <c r="J222" s="222"/>
      <c r="P222" s="194"/>
      <c r="Q222" s="198"/>
      <c r="R222" s="208"/>
    </row>
    <row r="223" spans="1:18" x14ac:dyDescent="0.3">
      <c r="A223" s="267" t="s">
        <v>145</v>
      </c>
      <c r="B223" s="263" t="s">
        <v>145</v>
      </c>
      <c r="C223" s="263" t="s">
        <v>358</v>
      </c>
      <c r="D223" s="67"/>
      <c r="E223" s="67"/>
      <c r="F223" s="68"/>
      <c r="G223" s="72"/>
      <c r="H223" s="72"/>
      <c r="I223" s="72"/>
      <c r="J223" s="222"/>
      <c r="P223" s="194"/>
      <c r="Q223" s="198"/>
    </row>
    <row r="224" spans="1:18" x14ac:dyDescent="0.3">
      <c r="A224" s="253"/>
      <c r="B224" s="264"/>
      <c r="C224" s="265" t="s">
        <v>359</v>
      </c>
      <c r="D224" s="67"/>
      <c r="E224" s="67"/>
      <c r="F224" s="68"/>
      <c r="G224" s="72"/>
      <c r="H224" s="72"/>
      <c r="I224" s="72"/>
      <c r="J224" s="222"/>
      <c r="O224" s="208"/>
      <c r="P224" s="194"/>
      <c r="Q224" s="198"/>
      <c r="R224" s="208"/>
    </row>
    <row r="225" spans="1:17" ht="19.5" thickBot="1" x14ac:dyDescent="0.35">
      <c r="A225" s="526" t="s">
        <v>67</v>
      </c>
      <c r="B225" s="527" t="s">
        <v>67</v>
      </c>
      <c r="C225" s="528">
        <f>SUM(C209:C224)</f>
        <v>0</v>
      </c>
      <c r="D225" s="70">
        <f>SUM(D209:D224)</f>
        <v>148080</v>
      </c>
      <c r="E225" s="70">
        <f>SUM(E209:E224)</f>
        <v>0</v>
      </c>
      <c r="F225" s="70">
        <f>SUM(F209:F224)</f>
        <v>148080</v>
      </c>
      <c r="G225" s="188"/>
      <c r="H225" s="188"/>
      <c r="I225" s="188"/>
      <c r="J225" s="222"/>
      <c r="P225" s="214"/>
      <c r="Q225" s="198"/>
    </row>
    <row r="226" spans="1:17" ht="19.5" thickTop="1" x14ac:dyDescent="0.3">
      <c r="A226" s="246"/>
      <c r="B226" s="186"/>
      <c r="C226" s="212"/>
      <c r="D226" s="212"/>
      <c r="E226" s="248"/>
      <c r="F226" s="207"/>
      <c r="G226" s="72"/>
      <c r="H226" s="72"/>
      <c r="I226" s="72"/>
    </row>
    <row r="227" spans="1:17" x14ac:dyDescent="0.3">
      <c r="A227" s="186"/>
      <c r="B227" s="186"/>
      <c r="C227" s="212"/>
      <c r="D227" s="212"/>
      <c r="E227" s="212"/>
      <c r="F227" s="72"/>
      <c r="G227" s="72"/>
      <c r="H227" s="72"/>
      <c r="I227" s="72"/>
    </row>
    <row r="228" spans="1:17" x14ac:dyDescent="0.3">
      <c r="A228" s="186"/>
      <c r="B228" s="186"/>
      <c r="C228" s="212"/>
      <c r="D228" s="212"/>
      <c r="E228" s="212"/>
      <c r="F228" s="72"/>
      <c r="G228" s="72"/>
      <c r="H228" s="72"/>
      <c r="I228" s="72"/>
    </row>
    <row r="229" spans="1:17" x14ac:dyDescent="0.3">
      <c r="A229" s="186"/>
      <c r="B229" s="186"/>
      <c r="C229" s="212"/>
      <c r="D229" s="212"/>
      <c r="E229" s="212"/>
      <c r="F229" s="72"/>
      <c r="G229" s="72"/>
      <c r="H229" s="72"/>
      <c r="I229" s="72"/>
    </row>
    <row r="230" spans="1:17" x14ac:dyDescent="0.3">
      <c r="A230" s="186"/>
      <c r="B230" s="247"/>
      <c r="C230" s="212"/>
      <c r="D230" s="212"/>
      <c r="E230" s="212"/>
      <c r="F230" s="72"/>
      <c r="G230" s="72"/>
      <c r="H230" s="72"/>
      <c r="I230" s="72"/>
    </row>
    <row r="231" spans="1:17" x14ac:dyDescent="0.3">
      <c r="A231" s="186"/>
      <c r="B231" s="186"/>
      <c r="C231" s="212"/>
      <c r="D231" s="212"/>
      <c r="E231" s="212"/>
      <c r="F231" s="72"/>
      <c r="G231" s="72"/>
      <c r="H231" s="72"/>
      <c r="I231" s="72"/>
    </row>
    <row r="232" spans="1:17" x14ac:dyDescent="0.3">
      <c r="A232" s="186"/>
      <c r="B232" s="186"/>
      <c r="C232" s="212"/>
      <c r="D232" s="212"/>
      <c r="E232" s="212"/>
      <c r="F232" s="72"/>
      <c r="G232" s="72"/>
      <c r="H232" s="72"/>
      <c r="I232" s="72"/>
    </row>
    <row r="233" spans="1:17" x14ac:dyDescent="0.3">
      <c r="A233" s="186"/>
      <c r="B233" s="186"/>
      <c r="C233" s="211"/>
      <c r="D233" s="211"/>
      <c r="E233" s="212"/>
      <c r="F233" s="72"/>
      <c r="G233" s="72"/>
      <c r="H233" s="72"/>
      <c r="I233" s="72"/>
    </row>
    <row r="234" spans="1:17" x14ac:dyDescent="0.3">
      <c r="A234" s="186"/>
      <c r="B234" s="186"/>
      <c r="C234" s="212"/>
      <c r="D234" s="212"/>
      <c r="E234" s="212"/>
      <c r="F234" s="72"/>
      <c r="G234" s="72"/>
      <c r="H234" s="72"/>
      <c r="I234" s="72"/>
    </row>
    <row r="235" spans="1:17" x14ac:dyDescent="0.3">
      <c r="A235" s="186"/>
      <c r="B235" s="186"/>
      <c r="C235" s="239"/>
      <c r="D235" s="239"/>
      <c r="E235" s="212"/>
      <c r="F235" s="72"/>
      <c r="G235" s="72"/>
      <c r="H235" s="72"/>
      <c r="I235" s="72"/>
    </row>
    <row r="236" spans="1:17" x14ac:dyDescent="0.3">
      <c r="A236" s="186"/>
      <c r="B236" s="189"/>
      <c r="C236" s="211"/>
      <c r="D236" s="211"/>
      <c r="E236" s="212"/>
      <c r="F236" s="72"/>
      <c r="G236" s="72"/>
      <c r="H236" s="72"/>
      <c r="I236" s="72"/>
    </row>
    <row r="237" spans="1:17" x14ac:dyDescent="0.3">
      <c r="A237" s="186"/>
      <c r="B237" s="189"/>
      <c r="C237" s="212"/>
      <c r="D237" s="212"/>
      <c r="E237" s="212"/>
      <c r="F237" s="72"/>
      <c r="G237" s="72"/>
      <c r="H237" s="72"/>
      <c r="I237" s="72"/>
    </row>
    <row r="238" spans="1:17" x14ac:dyDescent="0.3">
      <c r="A238" s="186"/>
      <c r="B238" s="189"/>
      <c r="C238" s="212"/>
      <c r="D238" s="212"/>
      <c r="E238" s="212"/>
      <c r="F238" s="72"/>
      <c r="G238" s="72"/>
      <c r="H238" s="72"/>
      <c r="I238" s="72"/>
    </row>
    <row r="239" spans="1:17" x14ac:dyDescent="0.3">
      <c r="A239" s="186"/>
      <c r="B239" s="189"/>
      <c r="C239" s="212"/>
      <c r="D239" s="212"/>
      <c r="E239" s="212"/>
      <c r="F239" s="72"/>
      <c r="G239" s="72"/>
      <c r="H239" s="72"/>
      <c r="I239" s="72"/>
    </row>
    <row r="240" spans="1:17" x14ac:dyDescent="0.3">
      <c r="A240" s="186"/>
      <c r="B240" s="189"/>
      <c r="C240" s="212"/>
      <c r="D240" s="212"/>
      <c r="E240" s="212"/>
      <c r="F240" s="72"/>
      <c r="G240" s="72"/>
      <c r="H240" s="72"/>
      <c r="I240" s="72"/>
    </row>
    <row r="241" spans="1:17" x14ac:dyDescent="0.3">
      <c r="A241" s="186"/>
      <c r="B241" s="189"/>
      <c r="C241" s="212"/>
      <c r="D241" s="212"/>
      <c r="E241" s="212"/>
      <c r="F241" s="72"/>
      <c r="G241" s="72"/>
      <c r="H241" s="72"/>
      <c r="I241" s="72"/>
    </row>
    <row r="242" spans="1:17" x14ac:dyDescent="0.3">
      <c r="A242" s="186"/>
      <c r="B242" s="189"/>
      <c r="C242" s="212"/>
      <c r="D242" s="212"/>
      <c r="E242" s="212"/>
      <c r="F242" s="72"/>
      <c r="G242" s="72"/>
      <c r="H242" s="72"/>
      <c r="I242" s="72"/>
    </row>
    <row r="243" spans="1:17" x14ac:dyDescent="0.3">
      <c r="A243" s="186"/>
      <c r="B243" s="189"/>
      <c r="C243" s="212"/>
      <c r="D243" s="212"/>
      <c r="E243" s="212"/>
      <c r="F243" s="72"/>
      <c r="G243" s="72"/>
      <c r="H243" s="72"/>
      <c r="I243" s="72"/>
    </row>
    <row r="244" spans="1:17" x14ac:dyDescent="0.3">
      <c r="A244" s="186"/>
      <c r="B244" s="189"/>
      <c r="C244" s="212"/>
      <c r="D244" s="212"/>
      <c r="E244" s="212"/>
      <c r="F244" s="72"/>
      <c r="G244" s="72"/>
      <c r="H244" s="72"/>
      <c r="I244" s="72"/>
    </row>
    <row r="245" spans="1:17" s="17" customFormat="1" ht="23.25" x14ac:dyDescent="0.35">
      <c r="A245" s="524" t="s">
        <v>0</v>
      </c>
      <c r="B245" s="524"/>
      <c r="C245" s="524"/>
      <c r="D245" s="524"/>
      <c r="E245" s="524"/>
      <c r="F245" s="524"/>
      <c r="G245" s="524"/>
      <c r="H245" s="524"/>
      <c r="I245" s="524"/>
      <c r="J245" s="531"/>
    </row>
    <row r="246" spans="1:17" s="17" customFormat="1" ht="23.25" x14ac:dyDescent="0.35">
      <c r="A246" s="524" t="s">
        <v>335</v>
      </c>
      <c r="B246" s="524"/>
      <c r="C246" s="524"/>
      <c r="D246" s="524"/>
      <c r="E246" s="524"/>
      <c r="F246" s="524"/>
      <c r="G246" s="524"/>
      <c r="H246" s="524"/>
      <c r="I246" s="524"/>
      <c r="J246" s="531"/>
    </row>
    <row r="247" spans="1:17" s="17" customFormat="1" ht="23.25" x14ac:dyDescent="0.35">
      <c r="A247" s="530" t="s">
        <v>479</v>
      </c>
      <c r="B247" s="530"/>
      <c r="C247" s="530"/>
      <c r="D247" s="530"/>
      <c r="E247" s="530"/>
      <c r="F247" s="530"/>
      <c r="G247" s="530"/>
      <c r="H247" s="530"/>
      <c r="I247" s="530"/>
      <c r="J247" s="531"/>
    </row>
    <row r="248" spans="1:17" s="269" customFormat="1" ht="37.5" x14ac:dyDescent="0.3">
      <c r="A248" s="256" t="s">
        <v>356</v>
      </c>
      <c r="B248" s="257" t="s">
        <v>105</v>
      </c>
      <c r="C248" s="258" t="s">
        <v>102</v>
      </c>
      <c r="D248" s="258" t="s">
        <v>67</v>
      </c>
      <c r="E248" s="258" t="s">
        <v>325</v>
      </c>
      <c r="F248" s="258" t="s">
        <v>98</v>
      </c>
      <c r="G248" s="258" t="s">
        <v>336</v>
      </c>
      <c r="H248" s="258" t="s">
        <v>337</v>
      </c>
      <c r="I248" s="275"/>
      <c r="J248" s="276"/>
      <c r="P248" s="270"/>
      <c r="Q248" s="271"/>
    </row>
    <row r="249" spans="1:17" x14ac:dyDescent="0.3">
      <c r="A249" s="252" t="s">
        <v>146</v>
      </c>
      <c r="B249" s="254"/>
      <c r="C249" s="250"/>
      <c r="D249" s="165"/>
      <c r="E249" s="165"/>
      <c r="F249" s="166"/>
      <c r="G249" s="166"/>
      <c r="H249" s="166"/>
      <c r="I249" s="72"/>
      <c r="J249" s="222"/>
      <c r="P249" s="194"/>
      <c r="Q249" s="195"/>
    </row>
    <row r="250" spans="1:17" x14ac:dyDescent="0.3">
      <c r="A250" s="266" t="s">
        <v>357</v>
      </c>
      <c r="B250" s="261" t="s">
        <v>147</v>
      </c>
      <c r="C250" s="481" t="s">
        <v>358</v>
      </c>
      <c r="D250" s="67"/>
      <c r="E250" s="67"/>
      <c r="F250" s="68"/>
      <c r="G250" s="68"/>
      <c r="H250" s="68"/>
      <c r="I250" s="72"/>
      <c r="J250" s="222"/>
      <c r="P250" s="194"/>
      <c r="Q250" s="195"/>
    </row>
    <row r="251" spans="1:17" x14ac:dyDescent="0.3">
      <c r="A251" s="267"/>
      <c r="B251" s="263" t="s">
        <v>148</v>
      </c>
      <c r="C251" s="263" t="s">
        <v>358</v>
      </c>
      <c r="D251" s="67">
        <f t="shared" ref="D251:D257" si="16">SUM(E251:J251)</f>
        <v>1268177</v>
      </c>
      <c r="E251" s="209">
        <f>SUM([5]รวมปี!$S$283:$S$286)</f>
        <v>1268177</v>
      </c>
      <c r="F251" s="68"/>
      <c r="G251" s="68"/>
      <c r="H251" s="68"/>
      <c r="I251" s="72"/>
      <c r="J251" s="222"/>
      <c r="P251" s="194"/>
      <c r="Q251" s="195"/>
    </row>
    <row r="252" spans="1:17" x14ac:dyDescent="0.3">
      <c r="A252" s="267"/>
      <c r="B252" s="263"/>
      <c r="C252" s="263" t="s">
        <v>359</v>
      </c>
      <c r="D252" s="67"/>
      <c r="E252" s="67"/>
      <c r="F252" s="68"/>
      <c r="G252" s="68"/>
      <c r="H252" s="68"/>
      <c r="I252" s="72"/>
      <c r="J252" s="222"/>
      <c r="P252" s="194"/>
      <c r="Q252" s="195"/>
    </row>
    <row r="253" spans="1:17" x14ac:dyDescent="0.3">
      <c r="A253" s="267" t="s">
        <v>360</v>
      </c>
      <c r="B253" s="263" t="s">
        <v>109</v>
      </c>
      <c r="C253" s="263" t="s">
        <v>358</v>
      </c>
      <c r="D253" s="67">
        <f t="shared" si="16"/>
        <v>162792</v>
      </c>
      <c r="E253" s="67">
        <f>SUM([5]รวมปี!$S$289:$S$292)</f>
        <v>162792</v>
      </c>
      <c r="F253" s="68"/>
      <c r="G253" s="68"/>
      <c r="H253" s="223"/>
      <c r="I253" s="72"/>
      <c r="J253" s="222"/>
      <c r="P253" s="194"/>
      <c r="Q253" s="195"/>
    </row>
    <row r="254" spans="1:17" x14ac:dyDescent="0.3">
      <c r="A254" s="267"/>
      <c r="B254" s="263"/>
      <c r="C254" s="263" t="s">
        <v>359</v>
      </c>
      <c r="D254" s="67"/>
      <c r="E254" s="67"/>
      <c r="F254" s="68"/>
      <c r="G254" s="68"/>
      <c r="H254" s="68"/>
      <c r="I254" s="72"/>
      <c r="J254" s="222"/>
      <c r="P254" s="194"/>
      <c r="Q254" s="195"/>
    </row>
    <row r="255" spans="1:17" x14ac:dyDescent="0.3">
      <c r="A255" s="267"/>
      <c r="B255" s="263" t="s">
        <v>112</v>
      </c>
      <c r="C255" s="263" t="s">
        <v>358</v>
      </c>
      <c r="D255" s="67">
        <f t="shared" si="16"/>
        <v>1937400</v>
      </c>
      <c r="E255" s="67">
        <f>SUM([5]รวมปี!$S$294:$S$299)</f>
        <v>7600</v>
      </c>
      <c r="F255" s="68"/>
      <c r="G255" s="68"/>
      <c r="H255" s="197">
        <f>[5]รวมปี!$S$332</f>
        <v>1929800</v>
      </c>
      <c r="I255" s="72"/>
      <c r="J255" s="222"/>
      <c r="P255" s="194"/>
      <c r="Q255" s="195"/>
    </row>
    <row r="256" spans="1:17" x14ac:dyDescent="0.3">
      <c r="A256" s="267"/>
      <c r="B256" s="263"/>
      <c r="C256" s="263" t="s">
        <v>359</v>
      </c>
      <c r="D256" s="67"/>
      <c r="E256" s="67"/>
      <c r="F256" s="68"/>
      <c r="G256" s="68"/>
      <c r="H256" s="68"/>
      <c r="I256" s="72"/>
      <c r="J256" s="222"/>
      <c r="P256" s="194"/>
      <c r="Q256" s="195"/>
    </row>
    <row r="257" spans="1:18" x14ac:dyDescent="0.3">
      <c r="A257" s="267"/>
      <c r="B257" s="263" t="s">
        <v>110</v>
      </c>
      <c r="C257" s="263" t="s">
        <v>358</v>
      </c>
      <c r="D257" s="67">
        <f t="shared" si="16"/>
        <v>132731</v>
      </c>
      <c r="E257" s="67">
        <f>SUM([5]รวมปี!$S$301:$S$304)</f>
        <v>132731</v>
      </c>
      <c r="F257" s="68"/>
      <c r="G257" s="68"/>
      <c r="H257" s="68"/>
      <c r="I257" s="72"/>
      <c r="J257" s="222"/>
      <c r="P257" s="194"/>
      <c r="Q257" s="198"/>
    </row>
    <row r="258" spans="1:18" x14ac:dyDescent="0.3">
      <c r="A258" s="267"/>
      <c r="B258" s="263" t="s">
        <v>149</v>
      </c>
      <c r="C258" s="263" t="s">
        <v>358</v>
      </c>
      <c r="D258" s="67"/>
      <c r="E258" s="67"/>
      <c r="F258" s="68"/>
      <c r="G258" s="68"/>
      <c r="H258" s="68"/>
      <c r="I258" s="72"/>
      <c r="J258" s="222"/>
      <c r="P258" s="194"/>
      <c r="Q258" s="198"/>
      <c r="R258" s="168"/>
    </row>
    <row r="259" spans="1:18" x14ac:dyDescent="0.3">
      <c r="A259" s="267" t="s">
        <v>361</v>
      </c>
      <c r="B259" s="263" t="s">
        <v>150</v>
      </c>
      <c r="C259" s="263" t="s">
        <v>358</v>
      </c>
      <c r="D259" s="67">
        <f>SUM(E259:J259)</f>
        <v>10990</v>
      </c>
      <c r="E259" s="67">
        <f>SUM([5]รวมปี!$S$307:$S$309)</f>
        <v>10990</v>
      </c>
      <c r="F259" s="68"/>
      <c r="G259" s="68"/>
      <c r="H259" s="67"/>
      <c r="I259" s="72"/>
      <c r="J259" s="222"/>
      <c r="P259" s="194"/>
      <c r="Q259" s="198"/>
    </row>
    <row r="260" spans="1:18" x14ac:dyDescent="0.3">
      <c r="A260" s="267"/>
      <c r="B260" s="263" t="s">
        <v>364</v>
      </c>
      <c r="C260" s="263" t="s">
        <v>358</v>
      </c>
      <c r="D260" s="67">
        <f>SUM(E260:J260)</f>
        <v>1228000</v>
      </c>
      <c r="E260" s="67"/>
      <c r="F260" s="199">
        <f>SUM([5]รวมปี!$S$315:$S$327)</f>
        <v>1228000</v>
      </c>
      <c r="G260" s="68"/>
      <c r="H260" s="68"/>
      <c r="I260" s="72"/>
      <c r="J260" s="222"/>
      <c r="P260" s="194"/>
      <c r="Q260" s="198"/>
      <c r="R260" s="217"/>
    </row>
    <row r="261" spans="1:18" x14ac:dyDescent="0.3">
      <c r="A261" s="267"/>
      <c r="B261" s="263" t="s">
        <v>365</v>
      </c>
      <c r="C261" s="263" t="s">
        <v>359</v>
      </c>
      <c r="D261" s="67"/>
      <c r="E261" s="67"/>
      <c r="F261" s="68"/>
      <c r="G261" s="68"/>
      <c r="H261" s="68"/>
      <c r="I261" s="72"/>
      <c r="J261" s="222"/>
      <c r="P261" s="194"/>
      <c r="Q261" s="198"/>
      <c r="R261" s="208"/>
    </row>
    <row r="262" spans="1:18" x14ac:dyDescent="0.3">
      <c r="A262" s="267" t="s">
        <v>362</v>
      </c>
      <c r="B262" s="263" t="s">
        <v>111</v>
      </c>
      <c r="C262" s="263" t="s">
        <v>358</v>
      </c>
      <c r="D262" s="67">
        <f>SUM(E262:J262)</f>
        <v>9600</v>
      </c>
      <c r="E262" s="67">
        <f>[5]รวมปี!$S$311</f>
        <v>9600</v>
      </c>
      <c r="F262" s="68"/>
      <c r="G262" s="68"/>
      <c r="H262" s="68"/>
      <c r="I262" s="72"/>
      <c r="J262" s="222"/>
      <c r="P262" s="194"/>
      <c r="Q262" s="198"/>
    </row>
    <row r="263" spans="1:18" x14ac:dyDescent="0.3">
      <c r="A263" s="267" t="s">
        <v>363</v>
      </c>
      <c r="B263" s="263" t="s">
        <v>117</v>
      </c>
      <c r="C263" s="263" t="s">
        <v>358</v>
      </c>
      <c r="D263" s="67"/>
      <c r="E263" s="67"/>
      <c r="F263" s="199"/>
      <c r="G263" s="68"/>
      <c r="H263" s="68"/>
      <c r="I263" s="72"/>
      <c r="J263" s="222"/>
      <c r="O263" s="208"/>
      <c r="P263" s="194"/>
      <c r="Q263" s="198"/>
      <c r="R263" s="208"/>
    </row>
    <row r="264" spans="1:18" x14ac:dyDescent="0.3">
      <c r="A264" s="267" t="s">
        <v>145</v>
      </c>
      <c r="B264" s="263" t="s">
        <v>145</v>
      </c>
      <c r="C264" s="263" t="s">
        <v>358</v>
      </c>
      <c r="D264" s="67"/>
      <c r="E264" s="67"/>
      <c r="F264" s="68"/>
      <c r="G264" s="68"/>
      <c r="H264" s="68"/>
      <c r="I264" s="72"/>
      <c r="J264" s="222"/>
      <c r="P264" s="174"/>
      <c r="Q264" s="198"/>
    </row>
    <row r="265" spans="1:18" x14ac:dyDescent="0.3">
      <c r="A265" s="253"/>
      <c r="B265" s="264"/>
      <c r="C265" s="265" t="s">
        <v>359</v>
      </c>
      <c r="D265" s="243"/>
      <c r="E265" s="176"/>
      <c r="F265" s="200"/>
      <c r="G265" s="200"/>
      <c r="H265" s="200"/>
      <c r="I265" s="72"/>
      <c r="J265" s="222"/>
      <c r="P265" s="174"/>
      <c r="Q265" s="198"/>
    </row>
    <row r="266" spans="1:18" ht="19.5" thickBot="1" x14ac:dyDescent="0.35">
      <c r="A266" s="526" t="s">
        <v>67</v>
      </c>
      <c r="B266" s="527" t="s">
        <v>67</v>
      </c>
      <c r="C266" s="528">
        <f t="shared" ref="C266:H266" si="17">SUM(C250:C265)</f>
        <v>0</v>
      </c>
      <c r="D266" s="177">
        <f t="shared" si="17"/>
        <v>4749690</v>
      </c>
      <c r="E266" s="177">
        <f t="shared" si="17"/>
        <v>1591890</v>
      </c>
      <c r="F266" s="177">
        <f t="shared" si="17"/>
        <v>1228000</v>
      </c>
      <c r="G266" s="177">
        <f t="shared" si="17"/>
        <v>0</v>
      </c>
      <c r="H266" s="177">
        <f t="shared" si="17"/>
        <v>1929800</v>
      </c>
      <c r="I266" s="184"/>
      <c r="J266" s="184"/>
      <c r="P266" s="214"/>
      <c r="Q266" s="198"/>
    </row>
    <row r="267" spans="1:18" ht="19.5" thickTop="1" x14ac:dyDescent="0.3">
      <c r="A267" s="246"/>
      <c r="B267" s="186"/>
      <c r="C267" s="212"/>
      <c r="D267" s="212"/>
      <c r="E267" s="249"/>
      <c r="F267" s="255"/>
      <c r="G267" s="207"/>
      <c r="H267" s="207"/>
      <c r="I267" s="72"/>
    </row>
    <row r="268" spans="1:18" x14ac:dyDescent="0.3">
      <c r="A268" s="186"/>
      <c r="B268" s="186"/>
      <c r="C268" s="212"/>
      <c r="D268" s="212"/>
      <c r="E268" s="239"/>
      <c r="F268" s="72"/>
      <c r="G268" s="72"/>
      <c r="H268" s="72"/>
      <c r="I268" s="72"/>
    </row>
    <row r="269" spans="1:18" x14ac:dyDescent="0.3">
      <c r="A269" s="186"/>
      <c r="B269" s="186"/>
      <c r="C269" s="212"/>
      <c r="D269" s="212"/>
      <c r="E269" s="212"/>
      <c r="F269" s="72"/>
      <c r="G269" s="72"/>
      <c r="H269" s="72"/>
      <c r="I269" s="72"/>
    </row>
    <row r="270" spans="1:18" x14ac:dyDescent="0.3">
      <c r="A270" s="186"/>
      <c r="B270" s="186"/>
      <c r="C270" s="212"/>
      <c r="D270" s="212"/>
      <c r="E270" s="212"/>
      <c r="F270" s="72"/>
      <c r="G270" s="72"/>
      <c r="H270" s="72"/>
      <c r="I270" s="72"/>
    </row>
    <row r="271" spans="1:18" x14ac:dyDescent="0.3">
      <c r="A271" s="186"/>
      <c r="B271" s="247"/>
      <c r="C271" s="212"/>
      <c r="D271" s="212"/>
      <c r="E271" s="212"/>
      <c r="F271" s="72"/>
      <c r="G271" s="72"/>
      <c r="H271" s="72"/>
      <c r="I271" s="72"/>
    </row>
    <row r="272" spans="1:18" x14ac:dyDescent="0.3">
      <c r="A272" s="186"/>
      <c r="B272" s="186"/>
      <c r="C272" s="212"/>
      <c r="D272" s="212"/>
      <c r="E272" s="212"/>
      <c r="F272" s="72"/>
      <c r="G272" s="72"/>
      <c r="H272" s="72"/>
      <c r="I272" s="72"/>
    </row>
    <row r="273" spans="1:10" x14ac:dyDescent="0.3">
      <c r="A273" s="186"/>
      <c r="B273" s="186"/>
      <c r="C273" s="212"/>
      <c r="D273" s="212"/>
      <c r="E273" s="212"/>
      <c r="F273" s="72"/>
      <c r="G273" s="72"/>
      <c r="H273" s="72"/>
      <c r="I273" s="72"/>
    </row>
    <row r="274" spans="1:10" x14ac:dyDescent="0.3">
      <c r="A274" s="186"/>
      <c r="B274" s="186"/>
      <c r="C274" s="211"/>
      <c r="D274" s="211"/>
      <c r="E274" s="212"/>
      <c r="F274" s="72"/>
      <c r="G274" s="72"/>
      <c r="H274" s="72"/>
      <c r="I274" s="72"/>
    </row>
    <row r="275" spans="1:10" x14ac:dyDescent="0.3">
      <c r="A275" s="186"/>
      <c r="B275" s="186"/>
      <c r="C275" s="212"/>
      <c r="D275" s="212"/>
      <c r="E275" s="212"/>
      <c r="F275" s="72"/>
      <c r="G275" s="72"/>
      <c r="H275" s="72"/>
      <c r="I275" s="72"/>
    </row>
    <row r="276" spans="1:10" x14ac:dyDescent="0.3">
      <c r="A276" s="186"/>
      <c r="B276" s="186"/>
      <c r="C276" s="239"/>
      <c r="D276" s="239"/>
      <c r="E276" s="212"/>
      <c r="F276" s="72"/>
      <c r="G276" s="72"/>
      <c r="H276" s="72"/>
      <c r="I276" s="72"/>
    </row>
    <row r="277" spans="1:10" x14ac:dyDescent="0.3">
      <c r="A277" s="186"/>
      <c r="B277" s="189"/>
      <c r="C277" s="211"/>
      <c r="D277" s="211"/>
      <c r="E277" s="212"/>
      <c r="F277" s="72"/>
      <c r="G277" s="72"/>
      <c r="H277" s="72"/>
      <c r="I277" s="72"/>
    </row>
    <row r="278" spans="1:10" x14ac:dyDescent="0.3">
      <c r="A278" s="186"/>
      <c r="B278" s="189"/>
      <c r="C278" s="212"/>
      <c r="D278" s="212"/>
      <c r="E278" s="212"/>
      <c r="F278" s="72"/>
      <c r="G278" s="72"/>
      <c r="H278" s="72"/>
      <c r="I278" s="72"/>
    </row>
    <row r="279" spans="1:10" x14ac:dyDescent="0.3">
      <c r="A279" s="186"/>
      <c r="B279" s="189"/>
      <c r="C279" s="212"/>
      <c r="D279" s="212"/>
      <c r="E279" s="212"/>
      <c r="F279" s="72"/>
      <c r="G279" s="72"/>
      <c r="H279" s="72"/>
      <c r="I279" s="72"/>
    </row>
    <row r="280" spans="1:10" x14ac:dyDescent="0.3">
      <c r="A280" s="186"/>
      <c r="B280" s="189"/>
      <c r="C280" s="212"/>
      <c r="D280" s="212"/>
      <c r="E280" s="212"/>
      <c r="F280" s="72"/>
      <c r="G280" s="72"/>
      <c r="H280" s="72"/>
      <c r="I280" s="72"/>
    </row>
    <row r="281" spans="1:10" x14ac:dyDescent="0.3">
      <c r="A281" s="186"/>
      <c r="B281" s="189"/>
      <c r="C281" s="212"/>
      <c r="D281" s="212"/>
      <c r="E281" s="212"/>
      <c r="F281" s="72"/>
      <c r="G281" s="72"/>
      <c r="H281" s="72"/>
      <c r="I281" s="72"/>
    </row>
    <row r="282" spans="1:10" x14ac:dyDescent="0.3">
      <c r="A282" s="186"/>
      <c r="B282" s="189"/>
      <c r="C282" s="212"/>
      <c r="D282" s="212"/>
      <c r="E282" s="212"/>
      <c r="F282" s="72"/>
      <c r="G282" s="72"/>
      <c r="H282" s="72"/>
      <c r="I282" s="72"/>
    </row>
    <row r="283" spans="1:10" x14ac:dyDescent="0.3">
      <c r="A283" s="186"/>
      <c r="B283" s="189"/>
      <c r="C283" s="212"/>
      <c r="D283" s="212"/>
      <c r="E283" s="212"/>
      <c r="F283" s="72"/>
      <c r="G283" s="72"/>
      <c r="H283" s="72"/>
      <c r="I283" s="72"/>
    </row>
    <row r="284" spans="1:10" x14ac:dyDescent="0.3">
      <c r="A284" s="186"/>
      <c r="B284" s="189"/>
      <c r="C284" s="212"/>
      <c r="D284" s="212"/>
      <c r="E284" s="212"/>
      <c r="F284" s="72"/>
      <c r="G284" s="72"/>
      <c r="H284" s="72"/>
      <c r="I284" s="72"/>
    </row>
    <row r="285" spans="1:10" x14ac:dyDescent="0.3">
      <c r="A285" s="186"/>
      <c r="B285" s="189"/>
      <c r="C285" s="212"/>
      <c r="D285" s="212"/>
      <c r="E285" s="212"/>
      <c r="F285" s="72"/>
      <c r="G285" s="72"/>
      <c r="H285" s="72"/>
      <c r="I285" s="72"/>
    </row>
    <row r="286" spans="1:10" x14ac:dyDescent="0.3">
      <c r="A286" s="186"/>
      <c r="B286" s="189"/>
      <c r="C286" s="212"/>
      <c r="D286" s="212"/>
      <c r="E286" s="212"/>
      <c r="F286" s="72"/>
      <c r="G286" s="72"/>
      <c r="H286" s="72"/>
      <c r="I286" s="72"/>
    </row>
    <row r="287" spans="1:10" s="17" customFormat="1" ht="23.25" x14ac:dyDescent="0.35">
      <c r="A287" s="524" t="s">
        <v>0</v>
      </c>
      <c r="B287" s="524"/>
      <c r="C287" s="524"/>
      <c r="D287" s="524"/>
      <c r="E287" s="524"/>
      <c r="F287" s="524"/>
      <c r="G287" s="524"/>
      <c r="H287" s="191"/>
      <c r="I287" s="191"/>
      <c r="J287" s="225"/>
    </row>
    <row r="288" spans="1:10" s="17" customFormat="1" ht="23.25" x14ac:dyDescent="0.35">
      <c r="A288" s="524" t="s">
        <v>338</v>
      </c>
      <c r="B288" s="524"/>
      <c r="C288" s="524"/>
      <c r="D288" s="524"/>
      <c r="E288" s="524"/>
      <c r="F288" s="524"/>
      <c r="G288" s="524"/>
      <c r="H288" s="191"/>
      <c r="I288" s="191"/>
      <c r="J288" s="225"/>
    </row>
    <row r="289" spans="1:18" s="17" customFormat="1" ht="23.25" x14ac:dyDescent="0.35">
      <c r="A289" s="529" t="s">
        <v>479</v>
      </c>
      <c r="B289" s="529"/>
      <c r="C289" s="529"/>
      <c r="D289" s="529"/>
      <c r="E289" s="529"/>
      <c r="F289" s="529"/>
      <c r="G289" s="530"/>
      <c r="H289" s="192"/>
      <c r="I289" s="192"/>
      <c r="J289" s="225"/>
    </row>
    <row r="290" spans="1:18" s="269" customFormat="1" ht="37.5" x14ac:dyDescent="0.3">
      <c r="A290" s="256" t="s">
        <v>356</v>
      </c>
      <c r="B290" s="257" t="s">
        <v>105</v>
      </c>
      <c r="C290" s="258" t="s">
        <v>102</v>
      </c>
      <c r="D290" s="258" t="s">
        <v>67</v>
      </c>
      <c r="E290" s="258" t="s">
        <v>325</v>
      </c>
      <c r="F290" s="277" t="s">
        <v>339</v>
      </c>
      <c r="G290" s="272"/>
      <c r="P290" s="270"/>
      <c r="Q290" s="273"/>
    </row>
    <row r="291" spans="1:18" x14ac:dyDescent="0.3">
      <c r="A291" s="252" t="s">
        <v>146</v>
      </c>
      <c r="B291" s="254"/>
      <c r="C291" s="250"/>
      <c r="D291" s="165"/>
      <c r="E291" s="165"/>
      <c r="F291" s="166"/>
      <c r="G291" s="226"/>
      <c r="P291" s="194"/>
      <c r="Q291" s="196"/>
    </row>
    <row r="292" spans="1:18" x14ac:dyDescent="0.3">
      <c r="A292" s="266" t="s">
        <v>357</v>
      </c>
      <c r="B292" s="261" t="s">
        <v>147</v>
      </c>
      <c r="C292" s="481" t="s">
        <v>358</v>
      </c>
      <c r="D292" s="67"/>
      <c r="E292" s="67"/>
      <c r="F292" s="68"/>
      <c r="G292" s="72"/>
      <c r="P292" s="194"/>
      <c r="Q292" s="196"/>
    </row>
    <row r="293" spans="1:18" x14ac:dyDescent="0.3">
      <c r="A293" s="267"/>
      <c r="B293" s="263" t="s">
        <v>148</v>
      </c>
      <c r="C293" s="263" t="s">
        <v>358</v>
      </c>
      <c r="D293" s="67"/>
      <c r="E293" s="67"/>
      <c r="F293" s="68"/>
      <c r="G293" s="72"/>
      <c r="P293" s="194"/>
      <c r="Q293" s="196"/>
    </row>
    <row r="294" spans="1:18" x14ac:dyDescent="0.3">
      <c r="A294" s="267"/>
      <c r="B294" s="263"/>
      <c r="C294" s="263" t="s">
        <v>359</v>
      </c>
      <c r="D294" s="67"/>
      <c r="E294" s="67"/>
      <c r="F294" s="68"/>
      <c r="G294" s="72"/>
      <c r="P294" s="194"/>
      <c r="Q294" s="196"/>
    </row>
    <row r="295" spans="1:18" x14ac:dyDescent="0.3">
      <c r="A295" s="267" t="s">
        <v>360</v>
      </c>
      <c r="B295" s="263" t="s">
        <v>109</v>
      </c>
      <c r="C295" s="263" t="s">
        <v>358</v>
      </c>
      <c r="D295" s="67"/>
      <c r="E295" s="67"/>
      <c r="F295" s="68"/>
      <c r="G295" s="72"/>
      <c r="P295" s="194"/>
      <c r="Q295" s="196"/>
    </row>
    <row r="296" spans="1:18" x14ac:dyDescent="0.3">
      <c r="A296" s="267"/>
      <c r="B296" s="263"/>
      <c r="C296" s="263" t="s">
        <v>359</v>
      </c>
      <c r="D296" s="67"/>
      <c r="E296" s="67"/>
      <c r="F296" s="68"/>
      <c r="G296" s="72"/>
      <c r="P296" s="194"/>
      <c r="Q296" s="196"/>
    </row>
    <row r="297" spans="1:18" x14ac:dyDescent="0.3">
      <c r="A297" s="267"/>
      <c r="B297" s="263" t="s">
        <v>112</v>
      </c>
      <c r="C297" s="263" t="s">
        <v>358</v>
      </c>
      <c r="D297" s="67">
        <f>SUM(E297:F297)</f>
        <v>87738</v>
      </c>
      <c r="E297" s="67"/>
      <c r="F297" s="68">
        <f>SUM([5]รวมปี!$S$339:$S$343)</f>
        <v>87738</v>
      </c>
      <c r="P297" s="194"/>
      <c r="Q297" s="195"/>
    </row>
    <row r="298" spans="1:18" x14ac:dyDescent="0.3">
      <c r="A298" s="267"/>
      <c r="B298" s="263"/>
      <c r="C298" s="263" t="s">
        <v>359</v>
      </c>
      <c r="D298" s="67"/>
      <c r="E298" s="67"/>
      <c r="F298" s="68"/>
      <c r="G298" s="226"/>
      <c r="P298" s="194"/>
      <c r="Q298" s="196"/>
    </row>
    <row r="299" spans="1:18" x14ac:dyDescent="0.3">
      <c r="A299" s="267"/>
      <c r="B299" s="263" t="s">
        <v>110</v>
      </c>
      <c r="C299" s="263" t="s">
        <v>358</v>
      </c>
      <c r="D299" s="67"/>
      <c r="E299" s="67"/>
      <c r="F299" s="68"/>
      <c r="G299" s="226"/>
      <c r="P299" s="194"/>
      <c r="Q299" s="196"/>
    </row>
    <row r="300" spans="1:18" x14ac:dyDescent="0.3">
      <c r="A300" s="267"/>
      <c r="B300" s="263" t="s">
        <v>149</v>
      </c>
      <c r="C300" s="263" t="s">
        <v>358</v>
      </c>
      <c r="D300" s="67"/>
      <c r="E300" s="67"/>
      <c r="F300" s="68"/>
      <c r="G300" s="226"/>
      <c r="P300" s="194"/>
      <c r="Q300" s="196"/>
    </row>
    <row r="301" spans="1:18" x14ac:dyDescent="0.3">
      <c r="A301" s="267" t="s">
        <v>361</v>
      </c>
      <c r="B301" s="263" t="s">
        <v>150</v>
      </c>
      <c r="C301" s="263" t="s">
        <v>358</v>
      </c>
      <c r="D301" s="67"/>
      <c r="E301" s="67"/>
      <c r="F301" s="68"/>
      <c r="G301" s="226"/>
      <c r="P301" s="194"/>
      <c r="Q301" s="196"/>
      <c r="R301" s="217"/>
    </row>
    <row r="302" spans="1:18" x14ac:dyDescent="0.3">
      <c r="A302" s="267"/>
      <c r="B302" s="263" t="s">
        <v>364</v>
      </c>
      <c r="C302" s="263" t="s">
        <v>358</v>
      </c>
      <c r="D302" s="67">
        <f>SUM(E302:F302)</f>
        <v>0</v>
      </c>
      <c r="E302" s="67"/>
      <c r="F302" s="68"/>
      <c r="G302" s="226"/>
      <c r="P302" s="194"/>
      <c r="Q302" s="196"/>
    </row>
    <row r="303" spans="1:18" x14ac:dyDescent="0.3">
      <c r="A303" s="267"/>
      <c r="B303" s="263" t="s">
        <v>365</v>
      </c>
      <c r="C303" s="263" t="s">
        <v>359</v>
      </c>
      <c r="D303" s="67"/>
      <c r="E303" s="67"/>
      <c r="F303" s="68"/>
      <c r="G303" s="226"/>
      <c r="P303" s="194"/>
      <c r="Q303" s="196"/>
    </row>
    <row r="304" spans="1:18" x14ac:dyDescent="0.3">
      <c r="A304" s="267" t="s">
        <v>362</v>
      </c>
      <c r="B304" s="263" t="s">
        <v>111</v>
      </c>
      <c r="C304" s="263" t="s">
        <v>358</v>
      </c>
      <c r="D304" s="67"/>
      <c r="E304" s="67"/>
      <c r="F304" s="68"/>
      <c r="G304" s="226"/>
      <c r="P304" s="194"/>
      <c r="Q304" s="196"/>
    </row>
    <row r="305" spans="1:17" x14ac:dyDescent="0.3">
      <c r="A305" s="267" t="s">
        <v>363</v>
      </c>
      <c r="B305" s="263" t="s">
        <v>117</v>
      </c>
      <c r="C305" s="263" t="s">
        <v>358</v>
      </c>
      <c r="D305" s="67">
        <f>SUM(E305:F305)</f>
        <v>110000</v>
      </c>
      <c r="E305" s="67"/>
      <c r="F305" s="68">
        <f>SUM([5]รวมปี!$S$346:$S$354)</f>
        <v>110000</v>
      </c>
      <c r="G305" s="226"/>
      <c r="P305" s="194"/>
      <c r="Q305" s="196"/>
    </row>
    <row r="306" spans="1:17" x14ac:dyDescent="0.3">
      <c r="A306" s="267" t="s">
        <v>145</v>
      </c>
      <c r="B306" s="263" t="s">
        <v>145</v>
      </c>
      <c r="C306" s="263" t="s">
        <v>358</v>
      </c>
      <c r="D306" s="67"/>
      <c r="E306" s="67"/>
      <c r="F306" s="68"/>
      <c r="G306" s="226"/>
      <c r="P306" s="174"/>
      <c r="Q306" s="196"/>
    </row>
    <row r="307" spans="1:17" x14ac:dyDescent="0.3">
      <c r="A307" s="253"/>
      <c r="B307" s="264"/>
      <c r="C307" s="265" t="s">
        <v>359</v>
      </c>
      <c r="D307" s="243"/>
      <c r="E307" s="176"/>
      <c r="F307" s="227"/>
      <c r="G307" s="226"/>
      <c r="P307" s="174"/>
      <c r="Q307" s="196"/>
    </row>
    <row r="308" spans="1:17" ht="19.5" thickBot="1" x14ac:dyDescent="0.35">
      <c r="A308" s="526" t="s">
        <v>67</v>
      </c>
      <c r="B308" s="527" t="s">
        <v>67</v>
      </c>
      <c r="C308" s="528">
        <f>SUM(C292:C307)</f>
        <v>0</v>
      </c>
      <c r="D308" s="70">
        <f>SUM(D292:D307)</f>
        <v>197738</v>
      </c>
      <c r="E308" s="70">
        <f>SUM(E298:E307)</f>
        <v>0</v>
      </c>
      <c r="F308" s="70">
        <f>SUM(F298:F307)</f>
        <v>110000</v>
      </c>
      <c r="G308" s="228"/>
      <c r="P308" s="214"/>
      <c r="Q308" s="196"/>
    </row>
    <row r="309" spans="1:17" ht="19.5" thickTop="1" x14ac:dyDescent="0.3">
      <c r="A309" s="246"/>
      <c r="B309" s="186"/>
      <c r="C309" s="212"/>
      <c r="D309" s="212"/>
      <c r="E309" s="248"/>
      <c r="F309" s="207"/>
      <c r="G309" s="72"/>
      <c r="H309" s="72"/>
      <c r="I309" s="72"/>
    </row>
    <row r="310" spans="1:17" x14ac:dyDescent="0.3">
      <c r="A310" s="186"/>
      <c r="B310" s="186"/>
      <c r="C310" s="212"/>
      <c r="D310" s="212"/>
      <c r="E310" s="212"/>
      <c r="F310" s="72"/>
      <c r="G310" s="72"/>
      <c r="H310" s="72"/>
      <c r="I310" s="72"/>
    </row>
    <row r="311" spans="1:17" x14ac:dyDescent="0.3">
      <c r="A311" s="186"/>
      <c r="B311" s="186"/>
      <c r="C311" s="212"/>
      <c r="D311" s="212"/>
      <c r="E311" s="212"/>
      <c r="F311" s="72"/>
      <c r="G311" s="72"/>
      <c r="H311" s="72"/>
      <c r="I311" s="72"/>
    </row>
    <row r="312" spans="1:17" x14ac:dyDescent="0.3">
      <c r="A312" s="186"/>
      <c r="B312" s="186"/>
      <c r="C312" s="212"/>
      <c r="D312" s="212"/>
      <c r="E312" s="212"/>
      <c r="F312" s="72"/>
      <c r="G312" s="72"/>
      <c r="H312" s="72"/>
      <c r="I312" s="72"/>
    </row>
    <row r="313" spans="1:17" x14ac:dyDescent="0.3">
      <c r="A313" s="186"/>
      <c r="B313" s="247"/>
      <c r="C313" s="212"/>
      <c r="D313" s="212"/>
      <c r="E313" s="212"/>
      <c r="F313" s="72"/>
      <c r="G313" s="72"/>
      <c r="H313" s="72"/>
      <c r="I313" s="72"/>
    </row>
    <row r="314" spans="1:17" x14ac:dyDescent="0.3">
      <c r="A314" s="186"/>
      <c r="B314" s="186"/>
      <c r="C314" s="212"/>
      <c r="D314" s="212"/>
      <c r="E314" s="212"/>
      <c r="F314" s="72"/>
      <c r="G314" s="72"/>
      <c r="H314" s="72"/>
      <c r="I314" s="72"/>
    </row>
    <row r="315" spans="1:17" x14ac:dyDescent="0.3">
      <c r="A315" s="186"/>
      <c r="B315" s="186"/>
      <c r="C315" s="212"/>
      <c r="D315" s="212"/>
      <c r="E315" s="212"/>
      <c r="F315" s="72"/>
      <c r="G315" s="72"/>
      <c r="H315" s="72"/>
      <c r="I315" s="72"/>
    </row>
    <row r="316" spans="1:17" x14ac:dyDescent="0.3">
      <c r="A316" s="186"/>
      <c r="B316" s="186"/>
      <c r="C316" s="211"/>
      <c r="D316" s="211"/>
      <c r="E316" s="212"/>
      <c r="F316" s="72"/>
      <c r="G316" s="72"/>
      <c r="H316" s="72"/>
      <c r="I316" s="72"/>
    </row>
    <row r="317" spans="1:17" x14ac:dyDescent="0.3">
      <c r="A317" s="186"/>
      <c r="B317" s="186"/>
      <c r="C317" s="212"/>
      <c r="D317" s="212"/>
      <c r="E317" s="212"/>
      <c r="F317" s="72"/>
      <c r="G317" s="72"/>
      <c r="H317" s="72"/>
      <c r="I317" s="72"/>
    </row>
    <row r="318" spans="1:17" x14ac:dyDescent="0.3">
      <c r="A318" s="186"/>
      <c r="B318" s="186"/>
      <c r="C318" s="239"/>
      <c r="D318" s="239"/>
      <c r="E318" s="212"/>
      <c r="F318" s="72"/>
      <c r="G318" s="72"/>
      <c r="H318" s="72"/>
      <c r="I318" s="72"/>
    </row>
    <row r="319" spans="1:17" x14ac:dyDescent="0.3">
      <c r="A319" s="186"/>
      <c r="B319" s="189"/>
      <c r="C319" s="211"/>
      <c r="D319" s="211"/>
      <c r="E319" s="212"/>
      <c r="F319" s="72"/>
      <c r="G319" s="72"/>
      <c r="H319" s="72"/>
      <c r="I319" s="72"/>
    </row>
    <row r="320" spans="1:17" x14ac:dyDescent="0.3">
      <c r="A320" s="186"/>
      <c r="B320" s="189"/>
      <c r="C320" s="212"/>
      <c r="D320" s="212"/>
      <c r="E320" s="212"/>
      <c r="F320" s="72"/>
      <c r="G320" s="72"/>
      <c r="H320" s="72"/>
      <c r="I320" s="72"/>
    </row>
    <row r="321" spans="1:17" x14ac:dyDescent="0.3">
      <c r="A321" s="186"/>
      <c r="B321" s="189"/>
      <c r="C321" s="212"/>
      <c r="D321" s="212"/>
      <c r="E321" s="212"/>
      <c r="F321" s="72"/>
      <c r="G321" s="72"/>
      <c r="H321" s="72"/>
      <c r="I321" s="72"/>
    </row>
    <row r="322" spans="1:17" x14ac:dyDescent="0.3">
      <c r="A322" s="186"/>
      <c r="B322" s="189"/>
      <c r="C322" s="212"/>
      <c r="D322" s="212"/>
      <c r="E322" s="212"/>
      <c r="F322" s="72"/>
      <c r="G322" s="72"/>
      <c r="H322" s="72"/>
      <c r="I322" s="72"/>
    </row>
    <row r="323" spans="1:17" x14ac:dyDescent="0.3">
      <c r="A323" s="186"/>
      <c r="B323" s="189"/>
      <c r="C323" s="212"/>
      <c r="D323" s="212"/>
      <c r="E323" s="212"/>
      <c r="F323" s="72"/>
      <c r="G323" s="72"/>
      <c r="H323" s="72"/>
      <c r="I323" s="72"/>
    </row>
    <row r="324" spans="1:17" x14ac:dyDescent="0.3">
      <c r="A324" s="186"/>
      <c r="B324" s="189"/>
      <c r="C324" s="212"/>
      <c r="D324" s="212"/>
      <c r="E324" s="212"/>
      <c r="F324" s="72"/>
      <c r="G324" s="72"/>
      <c r="H324" s="72"/>
      <c r="I324" s="72"/>
    </row>
    <row r="325" spans="1:17" x14ac:dyDescent="0.3">
      <c r="A325" s="186"/>
      <c r="B325" s="189"/>
      <c r="C325" s="212"/>
      <c r="D325" s="212"/>
      <c r="E325" s="212"/>
      <c r="F325" s="72"/>
      <c r="G325" s="72"/>
      <c r="H325" s="72"/>
      <c r="I325" s="72"/>
    </row>
    <row r="326" spans="1:17" x14ac:dyDescent="0.3">
      <c r="A326" s="186"/>
      <c r="B326" s="189"/>
      <c r="C326" s="212"/>
      <c r="D326" s="212"/>
      <c r="E326" s="212"/>
      <c r="F326" s="72"/>
      <c r="G326" s="72"/>
      <c r="H326" s="72"/>
      <c r="I326" s="72"/>
    </row>
    <row r="327" spans="1:17" x14ac:dyDescent="0.3">
      <c r="A327" s="186"/>
      <c r="B327" s="189"/>
      <c r="C327" s="212"/>
      <c r="D327" s="212"/>
      <c r="E327" s="212"/>
      <c r="F327" s="72"/>
      <c r="G327" s="72"/>
      <c r="H327" s="72"/>
      <c r="I327" s="72"/>
    </row>
    <row r="328" spans="1:17" s="17" customFormat="1" ht="23.25" x14ac:dyDescent="0.35">
      <c r="A328" s="524" t="s">
        <v>0</v>
      </c>
      <c r="B328" s="524"/>
      <c r="C328" s="524"/>
      <c r="D328" s="524"/>
      <c r="E328" s="524"/>
      <c r="F328" s="524"/>
      <c r="G328" s="524"/>
      <c r="H328" s="524"/>
      <c r="I328" s="85"/>
      <c r="J328" s="225"/>
    </row>
    <row r="329" spans="1:17" s="17" customFormat="1" ht="23.25" x14ac:dyDescent="0.35">
      <c r="A329" s="524" t="s">
        <v>340</v>
      </c>
      <c r="B329" s="524"/>
      <c r="C329" s="524"/>
      <c r="D329" s="524"/>
      <c r="E329" s="524"/>
      <c r="F329" s="524"/>
      <c r="G329" s="524"/>
      <c r="H329" s="524"/>
      <c r="I329" s="85"/>
      <c r="J329" s="225"/>
    </row>
    <row r="330" spans="1:17" s="17" customFormat="1" ht="23.25" x14ac:dyDescent="0.35">
      <c r="A330" s="529" t="s">
        <v>479</v>
      </c>
      <c r="B330" s="529"/>
      <c r="C330" s="529"/>
      <c r="D330" s="529"/>
      <c r="E330" s="529"/>
      <c r="F330" s="529"/>
      <c r="G330" s="529"/>
      <c r="H330" s="529"/>
      <c r="I330" s="216"/>
      <c r="J330" s="225"/>
    </row>
    <row r="331" spans="1:17" s="269" customFormat="1" ht="37.5" x14ac:dyDescent="0.3">
      <c r="A331" s="256" t="s">
        <v>356</v>
      </c>
      <c r="B331" s="257" t="s">
        <v>105</v>
      </c>
      <c r="C331" s="258" t="s">
        <v>102</v>
      </c>
      <c r="D331" s="258" t="s">
        <v>67</v>
      </c>
      <c r="E331" s="258" t="s">
        <v>325</v>
      </c>
      <c r="F331" s="258" t="s">
        <v>341</v>
      </c>
      <c r="G331" s="258" t="s">
        <v>342</v>
      </c>
      <c r="H331" s="258" t="s">
        <v>343</v>
      </c>
      <c r="I331" s="272"/>
      <c r="J331" s="276"/>
      <c r="P331" s="270"/>
      <c r="Q331" s="271"/>
    </row>
    <row r="332" spans="1:17" x14ac:dyDescent="0.3">
      <c r="A332" s="252" t="s">
        <v>146</v>
      </c>
      <c r="B332" s="254"/>
      <c r="C332" s="250"/>
      <c r="D332" s="165"/>
      <c r="E332" s="165"/>
      <c r="F332" s="166"/>
      <c r="G332" s="166"/>
      <c r="H332" s="166"/>
      <c r="I332" s="226"/>
      <c r="J332" s="222"/>
      <c r="P332" s="194"/>
      <c r="Q332" s="195"/>
    </row>
    <row r="333" spans="1:17" x14ac:dyDescent="0.3">
      <c r="A333" s="266" t="s">
        <v>357</v>
      </c>
      <c r="B333" s="261" t="s">
        <v>147</v>
      </c>
      <c r="C333" s="481" t="s">
        <v>358</v>
      </c>
      <c r="D333" s="67"/>
      <c r="E333" s="67"/>
      <c r="F333" s="68"/>
      <c r="G333" s="68"/>
      <c r="H333" s="68"/>
      <c r="I333" s="72"/>
      <c r="J333" s="222"/>
      <c r="P333" s="194"/>
      <c r="Q333" s="195"/>
    </row>
    <row r="334" spans="1:17" x14ac:dyDescent="0.3">
      <c r="A334" s="267"/>
      <c r="B334" s="263" t="s">
        <v>148</v>
      </c>
      <c r="C334" s="263" t="s">
        <v>358</v>
      </c>
      <c r="D334" s="67"/>
      <c r="E334" s="67"/>
      <c r="F334" s="68"/>
      <c r="G334" s="68"/>
      <c r="H334" s="68"/>
      <c r="I334" s="72"/>
      <c r="J334" s="222"/>
      <c r="P334" s="194"/>
      <c r="Q334" s="195"/>
    </row>
    <row r="335" spans="1:17" x14ac:dyDescent="0.3">
      <c r="A335" s="267"/>
      <c r="B335" s="263"/>
      <c r="C335" s="263" t="s">
        <v>359</v>
      </c>
      <c r="D335" s="67"/>
      <c r="E335" s="67"/>
      <c r="F335" s="229"/>
      <c r="G335" s="68"/>
      <c r="H335" s="68"/>
      <c r="I335" s="72"/>
      <c r="J335" s="222"/>
      <c r="P335" s="194"/>
      <c r="Q335" s="195"/>
    </row>
    <row r="336" spans="1:17" x14ac:dyDescent="0.3">
      <c r="A336" s="267" t="s">
        <v>360</v>
      </c>
      <c r="B336" s="263" t="s">
        <v>109</v>
      </c>
      <c r="C336" s="263" t="s">
        <v>358</v>
      </c>
      <c r="D336" s="67"/>
      <c r="E336" s="67"/>
      <c r="F336" s="68"/>
      <c r="G336" s="68"/>
      <c r="H336" s="68"/>
      <c r="I336" s="72"/>
      <c r="J336" s="222"/>
      <c r="P336" s="194"/>
      <c r="Q336" s="195"/>
    </row>
    <row r="337" spans="1:18" x14ac:dyDescent="0.3">
      <c r="A337" s="267"/>
      <c r="B337" s="263"/>
      <c r="C337" s="263" t="s">
        <v>359</v>
      </c>
      <c r="D337" s="67"/>
      <c r="E337" s="67"/>
      <c r="F337" s="68"/>
      <c r="G337" s="68"/>
      <c r="H337" s="68"/>
      <c r="I337" s="72"/>
      <c r="J337" s="222"/>
      <c r="P337" s="194"/>
      <c r="Q337" s="195"/>
    </row>
    <row r="338" spans="1:18" x14ac:dyDescent="0.3">
      <c r="A338" s="267"/>
      <c r="B338" s="263" t="s">
        <v>112</v>
      </c>
      <c r="C338" s="263" t="s">
        <v>358</v>
      </c>
      <c r="D338" s="67">
        <f>SUM(E338:H338)</f>
        <v>157876</v>
      </c>
      <c r="E338" s="67"/>
      <c r="F338" s="229">
        <f>SUM([5]รวมปี!$S$361:$S$364)</f>
        <v>30000</v>
      </c>
      <c r="G338" s="68">
        <f>SUM([5]รวมปี!$S$372:$S$376)</f>
        <v>127876</v>
      </c>
      <c r="H338" s="68"/>
      <c r="I338" s="72"/>
      <c r="J338" s="222"/>
      <c r="P338" s="194"/>
      <c r="Q338" s="195"/>
    </row>
    <row r="339" spans="1:18" x14ac:dyDescent="0.3">
      <c r="A339" s="267"/>
      <c r="B339" s="263"/>
      <c r="C339" s="263" t="s">
        <v>359</v>
      </c>
      <c r="D339" s="67"/>
      <c r="E339" s="67"/>
      <c r="F339" s="68"/>
      <c r="G339" s="68"/>
      <c r="H339" s="68"/>
      <c r="I339" s="48"/>
      <c r="J339" s="48"/>
      <c r="P339" s="194"/>
      <c r="Q339" s="195"/>
    </row>
    <row r="340" spans="1:18" x14ac:dyDescent="0.3">
      <c r="A340" s="267"/>
      <c r="B340" s="263" t="s">
        <v>110</v>
      </c>
      <c r="C340" s="263" t="s">
        <v>358</v>
      </c>
      <c r="D340" s="67"/>
      <c r="E340" s="67"/>
      <c r="F340" s="68"/>
      <c r="G340" s="68"/>
      <c r="H340" s="68"/>
      <c r="I340" s="226"/>
      <c r="J340" s="222"/>
      <c r="P340" s="194"/>
      <c r="Q340" s="195"/>
    </row>
    <row r="341" spans="1:18" x14ac:dyDescent="0.3">
      <c r="A341" s="267"/>
      <c r="B341" s="263" t="s">
        <v>149</v>
      </c>
      <c r="C341" s="263" t="s">
        <v>358</v>
      </c>
      <c r="D341" s="67"/>
      <c r="E341" s="67"/>
      <c r="F341" s="68"/>
      <c r="G341" s="68"/>
      <c r="H341" s="68"/>
      <c r="I341" s="226"/>
      <c r="J341" s="222"/>
      <c r="P341" s="194"/>
      <c r="Q341" s="195"/>
    </row>
    <row r="342" spans="1:18" x14ac:dyDescent="0.3">
      <c r="A342" s="267" t="s">
        <v>361</v>
      </c>
      <c r="B342" s="263" t="s">
        <v>150</v>
      </c>
      <c r="C342" s="263" t="s">
        <v>358</v>
      </c>
      <c r="D342" s="67"/>
      <c r="E342" s="67"/>
      <c r="F342" s="229"/>
      <c r="G342" s="68"/>
      <c r="H342" s="68"/>
      <c r="I342" s="226"/>
      <c r="J342" s="222"/>
      <c r="P342" s="194"/>
      <c r="Q342" s="198"/>
      <c r="R342" s="217"/>
    </row>
    <row r="343" spans="1:18" x14ac:dyDescent="0.3">
      <c r="A343" s="267"/>
      <c r="B343" s="263" t="s">
        <v>364</v>
      </c>
      <c r="C343" s="263" t="s">
        <v>358</v>
      </c>
      <c r="D343" s="67"/>
      <c r="E343" s="67"/>
      <c r="F343" s="68"/>
      <c r="G343" s="68"/>
      <c r="H343" s="68"/>
      <c r="I343" s="226"/>
      <c r="J343" s="222"/>
      <c r="P343" s="194"/>
      <c r="Q343" s="198"/>
    </row>
    <row r="344" spans="1:18" x14ac:dyDescent="0.3">
      <c r="A344" s="267"/>
      <c r="B344" s="263" t="s">
        <v>365</v>
      </c>
      <c r="C344" s="263" t="s">
        <v>359</v>
      </c>
      <c r="D344" s="67"/>
      <c r="E344" s="67"/>
      <c r="F344" s="68"/>
      <c r="G344" s="68"/>
      <c r="H344" s="68"/>
      <c r="I344" s="226"/>
      <c r="J344" s="222"/>
      <c r="P344" s="194"/>
      <c r="Q344" s="198"/>
    </row>
    <row r="345" spans="1:18" x14ac:dyDescent="0.3">
      <c r="A345" s="267" t="s">
        <v>362</v>
      </c>
      <c r="B345" s="263" t="s">
        <v>111</v>
      </c>
      <c r="C345" s="263" t="s">
        <v>358</v>
      </c>
      <c r="D345" s="67"/>
      <c r="E345" s="67"/>
      <c r="F345" s="68"/>
      <c r="G345" s="68"/>
      <c r="H345" s="68"/>
      <c r="I345" s="226"/>
      <c r="J345" s="222"/>
      <c r="P345" s="194"/>
      <c r="Q345" s="198"/>
    </row>
    <row r="346" spans="1:18" x14ac:dyDescent="0.3">
      <c r="A346" s="267" t="s">
        <v>363</v>
      </c>
      <c r="B346" s="263" t="s">
        <v>117</v>
      </c>
      <c r="C346" s="263" t="s">
        <v>358</v>
      </c>
      <c r="D346" s="67">
        <f>SUM(E346:H346)</f>
        <v>60000</v>
      </c>
      <c r="E346" s="67"/>
      <c r="F346" s="68"/>
      <c r="G346" s="68">
        <f>SUM([5]รวมปี!$S$380:$S$390)</f>
        <v>60000</v>
      </c>
      <c r="H346" s="68"/>
      <c r="I346" s="226"/>
      <c r="J346" s="222"/>
      <c r="P346" s="194"/>
      <c r="Q346" s="198"/>
    </row>
    <row r="347" spans="1:18" x14ac:dyDescent="0.3">
      <c r="A347" s="267" t="s">
        <v>145</v>
      </c>
      <c r="B347" s="263" t="s">
        <v>145</v>
      </c>
      <c r="C347" s="263" t="s">
        <v>358</v>
      </c>
      <c r="D347" s="67"/>
      <c r="E347" s="67"/>
      <c r="F347" s="68"/>
      <c r="G347" s="68"/>
      <c r="H347" s="68"/>
      <c r="I347" s="226"/>
      <c r="J347" s="222"/>
      <c r="P347" s="174"/>
      <c r="Q347" s="198"/>
    </row>
    <row r="348" spans="1:18" x14ac:dyDescent="0.3">
      <c r="A348" s="253"/>
      <c r="B348" s="264"/>
      <c r="C348" s="265" t="s">
        <v>359</v>
      </c>
      <c r="D348" s="243">
        <f>SUM(E348:H348)</f>
        <v>0</v>
      </c>
      <c r="E348" s="176"/>
      <c r="F348" s="200"/>
      <c r="G348" s="200">
        <v>0</v>
      </c>
      <c r="H348" s="200"/>
      <c r="I348" s="226"/>
      <c r="J348" s="222"/>
      <c r="P348" s="174"/>
      <c r="Q348" s="198"/>
    </row>
    <row r="349" spans="1:18" ht="19.5" thickBot="1" x14ac:dyDescent="0.35">
      <c r="A349" s="526" t="s">
        <v>67</v>
      </c>
      <c r="B349" s="527" t="s">
        <v>67</v>
      </c>
      <c r="C349" s="528">
        <f t="shared" ref="C349:H349" si="18">SUM(C333:C348)</f>
        <v>0</v>
      </c>
      <c r="D349" s="70">
        <f t="shared" si="18"/>
        <v>217876</v>
      </c>
      <c r="E349" s="70">
        <f t="shared" si="18"/>
        <v>0</v>
      </c>
      <c r="F349" s="70">
        <f t="shared" si="18"/>
        <v>30000</v>
      </c>
      <c r="G349" s="70">
        <f t="shared" si="18"/>
        <v>187876</v>
      </c>
      <c r="H349" s="70">
        <f t="shared" si="18"/>
        <v>0</v>
      </c>
      <c r="I349" s="228"/>
      <c r="J349" s="222"/>
      <c r="P349" s="214"/>
      <c r="Q349" s="198"/>
    </row>
    <row r="350" spans="1:18" ht="19.5" thickTop="1" x14ac:dyDescent="0.3">
      <c r="A350" s="246"/>
      <c r="B350" s="186"/>
      <c r="C350" s="212"/>
      <c r="D350" s="212"/>
      <c r="E350" s="248"/>
      <c r="F350" s="207"/>
      <c r="G350" s="207"/>
      <c r="H350" s="207"/>
      <c r="I350" s="72"/>
    </row>
    <row r="351" spans="1:18" x14ac:dyDescent="0.3">
      <c r="A351" s="186"/>
      <c r="B351" s="186"/>
      <c r="C351" s="212"/>
      <c r="D351" s="212"/>
      <c r="E351" s="212"/>
      <c r="F351" s="72"/>
      <c r="G351" s="72"/>
      <c r="H351" s="72"/>
      <c r="I351" s="72"/>
    </row>
    <row r="352" spans="1:18" x14ac:dyDescent="0.3">
      <c r="A352" s="186"/>
      <c r="B352" s="186"/>
      <c r="C352" s="212"/>
      <c r="D352" s="212"/>
      <c r="E352" s="212"/>
      <c r="F352" s="72"/>
      <c r="G352" s="72"/>
      <c r="H352" s="72"/>
      <c r="I352" s="72"/>
    </row>
    <row r="353" spans="1:10" x14ac:dyDescent="0.3">
      <c r="A353" s="186"/>
      <c r="B353" s="186"/>
      <c r="C353" s="212"/>
      <c r="D353" s="212"/>
      <c r="E353" s="212"/>
      <c r="F353" s="72"/>
      <c r="G353" s="72"/>
      <c r="H353" s="72"/>
      <c r="I353" s="72"/>
    </row>
    <row r="354" spans="1:10" x14ac:dyDescent="0.3">
      <c r="A354" s="186"/>
      <c r="B354" s="247"/>
      <c r="C354" s="212"/>
      <c r="D354" s="212"/>
      <c r="E354" s="212"/>
      <c r="F354" s="72"/>
      <c r="G354" s="72"/>
      <c r="H354" s="72"/>
      <c r="I354" s="72"/>
    </row>
    <row r="355" spans="1:10" x14ac:dyDescent="0.3">
      <c r="A355" s="186"/>
      <c r="B355" s="186"/>
      <c r="C355" s="212"/>
      <c r="D355" s="212"/>
      <c r="E355" s="212"/>
      <c r="F355" s="72"/>
      <c r="G355" s="72"/>
      <c r="H355" s="72"/>
      <c r="I355" s="72"/>
    </row>
    <row r="356" spans="1:10" x14ac:dyDescent="0.3">
      <c r="A356" s="186"/>
      <c r="B356" s="186"/>
      <c r="C356" s="212"/>
      <c r="D356" s="212"/>
      <c r="E356" s="212"/>
      <c r="F356" s="72"/>
      <c r="G356" s="72"/>
      <c r="H356" s="72"/>
      <c r="I356" s="72"/>
    </row>
    <row r="357" spans="1:10" x14ac:dyDescent="0.3">
      <c r="A357" s="186"/>
      <c r="B357" s="186"/>
      <c r="C357" s="211"/>
      <c r="D357" s="211"/>
      <c r="E357" s="212"/>
      <c r="F357" s="72"/>
      <c r="G357" s="72"/>
      <c r="H357" s="72"/>
      <c r="I357" s="72"/>
    </row>
    <row r="358" spans="1:10" x14ac:dyDescent="0.3">
      <c r="A358" s="186"/>
      <c r="B358" s="186"/>
      <c r="C358" s="212"/>
      <c r="D358" s="212"/>
      <c r="E358" s="212"/>
      <c r="F358" s="72"/>
      <c r="G358" s="72"/>
      <c r="H358" s="72"/>
      <c r="I358" s="72"/>
    </row>
    <row r="359" spans="1:10" x14ac:dyDescent="0.3">
      <c r="A359" s="186"/>
      <c r="B359" s="186"/>
      <c r="C359" s="239"/>
      <c r="D359" s="239"/>
      <c r="E359" s="212"/>
      <c r="F359" s="72"/>
      <c r="G359" s="72"/>
      <c r="H359" s="72"/>
      <c r="I359" s="72"/>
    </row>
    <row r="360" spans="1:10" x14ac:dyDescent="0.3">
      <c r="A360" s="186"/>
      <c r="B360" s="189"/>
      <c r="C360" s="211"/>
      <c r="D360" s="211"/>
      <c r="E360" s="212"/>
      <c r="F360" s="72"/>
      <c r="G360" s="72"/>
      <c r="H360" s="72"/>
      <c r="I360" s="72"/>
    </row>
    <row r="361" spans="1:10" x14ac:dyDescent="0.3">
      <c r="A361" s="186"/>
      <c r="B361" s="189"/>
      <c r="C361" s="212"/>
      <c r="D361" s="212"/>
      <c r="E361" s="212"/>
      <c r="F361" s="72"/>
      <c r="G361" s="72"/>
      <c r="H361" s="72"/>
      <c r="I361" s="72"/>
    </row>
    <row r="362" spans="1:10" x14ac:dyDescent="0.3">
      <c r="A362" s="186"/>
      <c r="B362" s="189"/>
      <c r="C362" s="212"/>
      <c r="D362" s="212"/>
      <c r="E362" s="212"/>
      <c r="F362" s="72"/>
      <c r="G362" s="72"/>
      <c r="H362" s="72"/>
      <c r="I362" s="72"/>
    </row>
    <row r="363" spans="1:10" x14ac:dyDescent="0.3">
      <c r="A363" s="186"/>
      <c r="B363" s="189"/>
      <c r="C363" s="212"/>
      <c r="D363" s="212"/>
      <c r="E363" s="212"/>
      <c r="F363" s="72"/>
      <c r="G363" s="72"/>
      <c r="H363" s="72"/>
      <c r="I363" s="72"/>
    </row>
    <row r="364" spans="1:10" x14ac:dyDescent="0.3">
      <c r="A364" s="186"/>
      <c r="B364" s="189"/>
      <c r="C364" s="212"/>
      <c r="D364" s="212"/>
      <c r="E364" s="212"/>
      <c r="F364" s="72"/>
      <c r="G364" s="72"/>
      <c r="H364" s="72"/>
      <c r="I364" s="72"/>
    </row>
    <row r="365" spans="1:10" x14ac:dyDescent="0.3">
      <c r="A365" s="186"/>
      <c r="B365" s="189"/>
      <c r="C365" s="212"/>
      <c r="D365" s="212"/>
      <c r="E365" s="212"/>
      <c r="F365" s="72"/>
      <c r="G365" s="72"/>
      <c r="H365" s="72"/>
      <c r="I365" s="72"/>
    </row>
    <row r="366" spans="1:10" x14ac:dyDescent="0.3">
      <c r="A366" s="186"/>
      <c r="B366" s="189"/>
      <c r="C366" s="212"/>
      <c r="D366" s="212"/>
      <c r="E366" s="212"/>
      <c r="F366" s="72"/>
      <c r="G366" s="72"/>
      <c r="H366" s="72"/>
      <c r="I366" s="72"/>
    </row>
    <row r="367" spans="1:10" x14ac:dyDescent="0.3">
      <c r="A367" s="186"/>
      <c r="B367" s="189"/>
      <c r="C367" s="212"/>
      <c r="D367" s="212"/>
      <c r="E367" s="212"/>
      <c r="F367" s="72"/>
      <c r="G367" s="72"/>
      <c r="H367" s="72"/>
      <c r="I367" s="72"/>
    </row>
    <row r="368" spans="1:10" s="17" customFormat="1" ht="23.25" x14ac:dyDescent="0.35">
      <c r="A368" s="524" t="s">
        <v>0</v>
      </c>
      <c r="B368" s="524"/>
      <c r="C368" s="524"/>
      <c r="D368" s="524"/>
      <c r="E368" s="524"/>
      <c r="F368" s="524"/>
      <c r="G368" s="524"/>
      <c r="H368" s="191"/>
      <c r="I368" s="191"/>
      <c r="J368" s="225"/>
    </row>
    <row r="369" spans="1:17" s="17" customFormat="1" ht="23.25" x14ac:dyDescent="0.35">
      <c r="A369" s="524" t="s">
        <v>344</v>
      </c>
      <c r="B369" s="524"/>
      <c r="C369" s="524"/>
      <c r="D369" s="524"/>
      <c r="E369" s="524"/>
      <c r="F369" s="524"/>
      <c r="G369" s="524"/>
      <c r="H369" s="191"/>
      <c r="I369" s="191"/>
      <c r="J369" s="225"/>
    </row>
    <row r="370" spans="1:17" s="17" customFormat="1" ht="23.25" x14ac:dyDescent="0.35">
      <c r="A370" s="529" t="s">
        <v>479</v>
      </c>
      <c r="B370" s="529"/>
      <c r="C370" s="529"/>
      <c r="D370" s="529"/>
      <c r="E370" s="529"/>
      <c r="F370" s="529"/>
      <c r="G370" s="530"/>
      <c r="H370" s="192"/>
      <c r="I370" s="192"/>
      <c r="J370" s="225"/>
    </row>
    <row r="371" spans="1:17" s="269" customFormat="1" ht="47.25" x14ac:dyDescent="0.3">
      <c r="A371" s="256" t="s">
        <v>356</v>
      </c>
      <c r="B371" s="257" t="s">
        <v>105</v>
      </c>
      <c r="C371" s="258" t="s">
        <v>102</v>
      </c>
      <c r="D371" s="258" t="s">
        <v>67</v>
      </c>
      <c r="E371" s="274" t="s">
        <v>345</v>
      </c>
      <c r="F371" s="258" t="s">
        <v>100</v>
      </c>
      <c r="G371" s="275"/>
      <c r="P371" s="270"/>
      <c r="Q371" s="273"/>
    </row>
    <row r="372" spans="1:17" x14ac:dyDescent="0.3">
      <c r="A372" s="252" t="s">
        <v>146</v>
      </c>
      <c r="B372" s="254"/>
      <c r="C372" s="250"/>
      <c r="D372" s="165"/>
      <c r="E372" s="165"/>
      <c r="F372" s="166"/>
      <c r="G372" s="226"/>
      <c r="P372" s="194"/>
      <c r="Q372" s="196"/>
    </row>
    <row r="373" spans="1:17" x14ac:dyDescent="0.3">
      <c r="A373" s="266" t="s">
        <v>357</v>
      </c>
      <c r="B373" s="261" t="s">
        <v>147</v>
      </c>
      <c r="C373" s="481" t="s">
        <v>358</v>
      </c>
      <c r="D373" s="67"/>
      <c r="E373" s="67"/>
      <c r="F373" s="68"/>
      <c r="G373" s="72"/>
      <c r="P373" s="194"/>
      <c r="Q373" s="196"/>
    </row>
    <row r="374" spans="1:17" x14ac:dyDescent="0.3">
      <c r="A374" s="267"/>
      <c r="B374" s="263" t="s">
        <v>148</v>
      </c>
      <c r="C374" s="263" t="s">
        <v>358</v>
      </c>
      <c r="D374" s="67"/>
      <c r="E374" s="67"/>
      <c r="F374" s="68"/>
      <c r="G374" s="72"/>
      <c r="P374" s="194"/>
      <c r="Q374" s="196"/>
    </row>
    <row r="375" spans="1:17" x14ac:dyDescent="0.3">
      <c r="A375" s="267"/>
      <c r="B375" s="263"/>
      <c r="C375" s="263" t="s">
        <v>359</v>
      </c>
      <c r="D375" s="67"/>
      <c r="E375" s="67"/>
      <c r="F375" s="68"/>
      <c r="G375" s="72"/>
      <c r="P375" s="194"/>
      <c r="Q375" s="196"/>
    </row>
    <row r="376" spans="1:17" x14ac:dyDescent="0.3">
      <c r="A376" s="267" t="s">
        <v>360</v>
      </c>
      <c r="B376" s="263" t="s">
        <v>109</v>
      </c>
      <c r="C376" s="263" t="s">
        <v>358</v>
      </c>
      <c r="D376" s="67"/>
      <c r="E376" s="67"/>
      <c r="F376" s="68"/>
      <c r="G376" s="72"/>
      <c r="P376" s="194"/>
      <c r="Q376" s="196"/>
    </row>
    <row r="377" spans="1:17" x14ac:dyDescent="0.3">
      <c r="A377" s="267"/>
      <c r="B377" s="263"/>
      <c r="C377" s="263" t="s">
        <v>359</v>
      </c>
      <c r="D377" s="67"/>
      <c r="E377" s="67"/>
      <c r="F377" s="68"/>
      <c r="G377" s="72"/>
      <c r="P377" s="194"/>
      <c r="Q377" s="196"/>
    </row>
    <row r="378" spans="1:17" x14ac:dyDescent="0.3">
      <c r="A378" s="267"/>
      <c r="B378" s="263" t="s">
        <v>112</v>
      </c>
      <c r="C378" s="263" t="s">
        <v>358</v>
      </c>
      <c r="D378" s="67"/>
      <c r="E378" s="67"/>
      <c r="F378" s="68"/>
      <c r="P378" s="194"/>
      <c r="Q378" s="195"/>
    </row>
    <row r="379" spans="1:17" x14ac:dyDescent="0.3">
      <c r="A379" s="267"/>
      <c r="B379" s="263"/>
      <c r="C379" s="263" t="s">
        <v>359</v>
      </c>
      <c r="D379" s="67"/>
      <c r="E379" s="67"/>
      <c r="F379" s="68"/>
      <c r="G379" s="226"/>
      <c r="P379" s="194"/>
      <c r="Q379" s="196"/>
    </row>
    <row r="380" spans="1:17" x14ac:dyDescent="0.3">
      <c r="A380" s="267"/>
      <c r="B380" s="263" t="s">
        <v>110</v>
      </c>
      <c r="C380" s="263" t="s">
        <v>358</v>
      </c>
      <c r="D380" s="67"/>
      <c r="E380" s="67"/>
      <c r="F380" s="68"/>
      <c r="G380" s="226"/>
      <c r="P380" s="194"/>
      <c r="Q380" s="196"/>
    </row>
    <row r="381" spans="1:17" x14ac:dyDescent="0.3">
      <c r="A381" s="267"/>
      <c r="B381" s="263" t="s">
        <v>149</v>
      </c>
      <c r="C381" s="263" t="s">
        <v>358</v>
      </c>
      <c r="D381" s="67"/>
      <c r="E381" s="67"/>
      <c r="F381" s="68"/>
      <c r="G381" s="226"/>
      <c r="P381" s="194"/>
      <c r="Q381" s="196"/>
    </row>
    <row r="382" spans="1:17" x14ac:dyDescent="0.3">
      <c r="A382" s="267" t="s">
        <v>361</v>
      </c>
      <c r="B382" s="263" t="s">
        <v>150</v>
      </c>
      <c r="C382" s="263" t="s">
        <v>358</v>
      </c>
      <c r="D382" s="67"/>
      <c r="E382" s="67"/>
      <c r="F382" s="68"/>
      <c r="G382" s="226"/>
      <c r="P382" s="194"/>
      <c r="Q382" s="196"/>
    </row>
    <row r="383" spans="1:17" x14ac:dyDescent="0.3">
      <c r="A383" s="267"/>
      <c r="B383" s="263" t="s">
        <v>364</v>
      </c>
      <c r="C383" s="263" t="s">
        <v>358</v>
      </c>
      <c r="D383" s="67">
        <f>SUM(E383:F383)</f>
        <v>1185420</v>
      </c>
      <c r="E383" s="67"/>
      <c r="F383" s="199">
        <f>SUM([5]รวมปี!$S$396:$S$403)</f>
        <v>1185420</v>
      </c>
      <c r="G383" s="226"/>
      <c r="P383" s="194"/>
      <c r="Q383" s="196"/>
    </row>
    <row r="384" spans="1:17" x14ac:dyDescent="0.3">
      <c r="A384" s="267"/>
      <c r="B384" s="263" t="s">
        <v>365</v>
      </c>
      <c r="C384" s="263" t="s">
        <v>359</v>
      </c>
      <c r="D384" s="67"/>
      <c r="E384" s="67"/>
      <c r="F384" s="68"/>
      <c r="G384" s="226"/>
      <c r="P384" s="194"/>
      <c r="Q384" s="196"/>
    </row>
    <row r="385" spans="1:17" x14ac:dyDescent="0.3">
      <c r="A385" s="267" t="s">
        <v>362</v>
      </c>
      <c r="B385" s="263" t="s">
        <v>111</v>
      </c>
      <c r="C385" s="263" t="s">
        <v>358</v>
      </c>
      <c r="D385" s="67"/>
      <c r="E385" s="67"/>
      <c r="F385" s="68"/>
      <c r="G385" s="226"/>
      <c r="P385" s="194"/>
      <c r="Q385" s="196"/>
    </row>
    <row r="386" spans="1:17" x14ac:dyDescent="0.3">
      <c r="A386" s="267" t="s">
        <v>363</v>
      </c>
      <c r="B386" s="263" t="s">
        <v>117</v>
      </c>
      <c r="C386" s="263" t="s">
        <v>358</v>
      </c>
      <c r="D386" s="67"/>
      <c r="E386" s="67"/>
      <c r="F386" s="199"/>
      <c r="G386" s="226"/>
      <c r="P386" s="194"/>
      <c r="Q386" s="196"/>
    </row>
    <row r="387" spans="1:17" x14ac:dyDescent="0.3">
      <c r="A387" s="267" t="s">
        <v>145</v>
      </c>
      <c r="B387" s="263" t="s">
        <v>145</v>
      </c>
      <c r="C387" s="263" t="s">
        <v>358</v>
      </c>
      <c r="D387" s="67"/>
      <c r="E387" s="67"/>
      <c r="F387" s="68"/>
      <c r="G387" s="226"/>
      <c r="P387" s="174"/>
      <c r="Q387" s="196"/>
    </row>
    <row r="388" spans="1:17" x14ac:dyDescent="0.3">
      <c r="A388" s="253"/>
      <c r="B388" s="264"/>
      <c r="C388" s="265" t="s">
        <v>359</v>
      </c>
      <c r="D388" s="243"/>
      <c r="E388" s="176"/>
      <c r="F388" s="200"/>
      <c r="G388" s="226"/>
      <c r="P388" s="174"/>
      <c r="Q388" s="196"/>
    </row>
    <row r="389" spans="1:17" ht="19.5" thickBot="1" x14ac:dyDescent="0.35">
      <c r="A389" s="526" t="s">
        <v>67</v>
      </c>
      <c r="B389" s="527" t="s">
        <v>67</v>
      </c>
      <c r="C389" s="528">
        <f>SUM(C373:C388)</f>
        <v>0</v>
      </c>
      <c r="D389" s="70">
        <f>SUM(D373:D388)</f>
        <v>1185420</v>
      </c>
      <c r="E389" s="70">
        <f>SUM(E373:E388)</f>
        <v>0</v>
      </c>
      <c r="F389" s="177">
        <f>SUM(F373:F388)</f>
        <v>1185420</v>
      </c>
      <c r="G389" s="228"/>
      <c r="P389" s="214"/>
      <c r="Q389" s="196"/>
    </row>
    <row r="390" spans="1:17" ht="19.5" thickTop="1" x14ac:dyDescent="0.3">
      <c r="A390" s="246"/>
      <c r="B390" s="186"/>
      <c r="C390" s="212"/>
      <c r="D390" s="212"/>
      <c r="E390" s="244"/>
      <c r="F390" s="207"/>
      <c r="G390" s="72"/>
      <c r="H390" s="72"/>
      <c r="I390" s="72"/>
    </row>
    <row r="391" spans="1:17" x14ac:dyDescent="0.3">
      <c r="A391" s="186"/>
      <c r="B391" s="186"/>
      <c r="C391" s="212"/>
      <c r="D391" s="212"/>
      <c r="E391" s="211"/>
      <c r="F391" s="72"/>
      <c r="G391" s="72"/>
      <c r="H391" s="72"/>
      <c r="I391" s="72"/>
    </row>
    <row r="392" spans="1:17" x14ac:dyDescent="0.3">
      <c r="A392" s="186"/>
      <c r="B392" s="186"/>
      <c r="C392" s="212"/>
      <c r="D392" s="212"/>
      <c r="E392" s="212"/>
      <c r="F392" s="72"/>
      <c r="G392" s="72"/>
      <c r="H392" s="72"/>
      <c r="I392" s="72"/>
    </row>
    <row r="393" spans="1:17" x14ac:dyDescent="0.3">
      <c r="A393" s="186"/>
      <c r="B393" s="186"/>
      <c r="C393" s="212"/>
      <c r="D393" s="212"/>
      <c r="E393" s="212"/>
      <c r="F393" s="72"/>
      <c r="G393" s="72"/>
      <c r="H393" s="72"/>
      <c r="I393" s="72"/>
    </row>
    <row r="394" spans="1:17" x14ac:dyDescent="0.3">
      <c r="A394" s="186"/>
      <c r="B394" s="247"/>
      <c r="C394" s="212"/>
      <c r="D394" s="212"/>
      <c r="E394" s="212"/>
      <c r="F394" s="72"/>
      <c r="G394" s="72"/>
      <c r="H394" s="72"/>
      <c r="I394" s="72"/>
    </row>
    <row r="395" spans="1:17" x14ac:dyDescent="0.3">
      <c r="A395" s="186"/>
      <c r="B395" s="186"/>
      <c r="C395" s="212"/>
      <c r="D395" s="212"/>
      <c r="E395" s="212"/>
      <c r="F395" s="72"/>
      <c r="G395" s="72"/>
      <c r="H395" s="72"/>
      <c r="I395" s="72"/>
    </row>
    <row r="396" spans="1:17" x14ac:dyDescent="0.3">
      <c r="A396" s="186"/>
      <c r="B396" s="186"/>
      <c r="C396" s="212"/>
      <c r="D396" s="212"/>
      <c r="E396" s="212"/>
      <c r="F396" s="72"/>
      <c r="G396" s="72"/>
      <c r="H396" s="72"/>
      <c r="I396" s="72"/>
    </row>
    <row r="397" spans="1:17" x14ac:dyDescent="0.3">
      <c r="A397" s="186"/>
      <c r="B397" s="186"/>
      <c r="C397" s="211"/>
      <c r="D397" s="211"/>
      <c r="E397" s="212"/>
      <c r="F397" s="72"/>
      <c r="G397" s="72"/>
      <c r="H397" s="72"/>
      <c r="I397" s="72"/>
    </row>
    <row r="398" spans="1:17" x14ac:dyDescent="0.3">
      <c r="A398" s="186"/>
      <c r="B398" s="186"/>
      <c r="C398" s="212"/>
      <c r="D398" s="212"/>
      <c r="E398" s="212"/>
      <c r="F398" s="72"/>
      <c r="G398" s="72"/>
      <c r="H398" s="72"/>
      <c r="I398" s="72"/>
    </row>
    <row r="399" spans="1:17" x14ac:dyDescent="0.3">
      <c r="A399" s="186"/>
      <c r="B399" s="186"/>
      <c r="C399" s="239"/>
      <c r="D399" s="239"/>
      <c r="E399" s="212"/>
      <c r="F399" s="72"/>
      <c r="G399" s="72"/>
      <c r="H399" s="72"/>
      <c r="I399" s="72"/>
    </row>
    <row r="400" spans="1:17" x14ac:dyDescent="0.3">
      <c r="A400" s="186"/>
      <c r="B400" s="189"/>
      <c r="C400" s="211"/>
      <c r="D400" s="211"/>
      <c r="E400" s="212"/>
      <c r="F400" s="72"/>
      <c r="G400" s="72"/>
      <c r="H400" s="72"/>
      <c r="I400" s="72"/>
    </row>
    <row r="401" spans="1:17" ht="16.5" customHeight="1" x14ac:dyDescent="0.3">
      <c r="A401" s="186"/>
      <c r="B401" s="189"/>
      <c r="C401" s="212"/>
      <c r="D401" s="212"/>
      <c r="E401" s="212"/>
      <c r="F401" s="72"/>
      <c r="G401" s="72"/>
      <c r="H401" s="72"/>
      <c r="I401" s="72"/>
    </row>
    <row r="402" spans="1:17" x14ac:dyDescent="0.3">
      <c r="A402" s="186"/>
      <c r="B402" s="189"/>
      <c r="C402" s="212"/>
      <c r="D402" s="212"/>
      <c r="E402" s="212"/>
      <c r="F402" s="72"/>
      <c r="G402" s="72"/>
      <c r="H402" s="72"/>
      <c r="I402" s="72"/>
    </row>
    <row r="403" spans="1:17" x14ac:dyDescent="0.3">
      <c r="A403" s="186"/>
      <c r="B403" s="189"/>
      <c r="C403" s="212"/>
      <c r="D403" s="212"/>
      <c r="E403" s="212"/>
      <c r="F403" s="72"/>
      <c r="G403" s="72"/>
      <c r="H403" s="72"/>
      <c r="I403" s="72"/>
    </row>
    <row r="404" spans="1:17" x14ac:dyDescent="0.3">
      <c r="A404" s="186"/>
      <c r="B404" s="189"/>
      <c r="C404" s="212"/>
      <c r="D404" s="212"/>
      <c r="E404" s="212"/>
      <c r="F404" s="72"/>
      <c r="G404" s="72"/>
      <c r="H404" s="72"/>
      <c r="I404" s="72"/>
    </row>
    <row r="405" spans="1:17" x14ac:dyDescent="0.3">
      <c r="A405" s="186"/>
      <c r="B405" s="189"/>
      <c r="C405" s="212"/>
      <c r="D405" s="212"/>
      <c r="E405" s="212"/>
      <c r="F405" s="72"/>
      <c r="G405" s="72"/>
      <c r="H405" s="72"/>
      <c r="I405" s="72"/>
    </row>
    <row r="406" spans="1:17" x14ac:dyDescent="0.3">
      <c r="A406" s="186"/>
      <c r="B406" s="189"/>
      <c r="C406" s="212"/>
      <c r="D406" s="212"/>
      <c r="E406" s="212"/>
      <c r="F406" s="72"/>
      <c r="G406" s="72"/>
      <c r="H406" s="72"/>
      <c r="I406" s="72"/>
    </row>
    <row r="407" spans="1:17" x14ac:dyDescent="0.3">
      <c r="A407" s="186"/>
      <c r="B407" s="189"/>
      <c r="C407" s="212"/>
      <c r="D407" s="212"/>
      <c r="E407" s="212"/>
      <c r="F407" s="72"/>
      <c r="G407" s="72"/>
      <c r="H407" s="72"/>
      <c r="I407" s="72"/>
    </row>
    <row r="408" spans="1:17" s="17" customFormat="1" ht="23.25" x14ac:dyDescent="0.35">
      <c r="A408" s="524" t="s">
        <v>0</v>
      </c>
      <c r="B408" s="524"/>
      <c r="C408" s="524"/>
      <c r="D408" s="524"/>
      <c r="E408" s="524"/>
      <c r="F408" s="524"/>
      <c r="G408" s="191"/>
      <c r="H408" s="191"/>
      <c r="I408" s="191"/>
      <c r="J408" s="225"/>
    </row>
    <row r="409" spans="1:17" s="17" customFormat="1" ht="23.25" x14ac:dyDescent="0.35">
      <c r="A409" s="524" t="s">
        <v>346</v>
      </c>
      <c r="B409" s="524"/>
      <c r="C409" s="524"/>
      <c r="D409" s="524"/>
      <c r="E409" s="524"/>
      <c r="F409" s="524"/>
      <c r="G409" s="191"/>
      <c r="H409" s="191"/>
      <c r="I409" s="191"/>
      <c r="J409" s="225"/>
    </row>
    <row r="410" spans="1:17" s="17" customFormat="1" ht="23.25" x14ac:dyDescent="0.35">
      <c r="A410" s="529" t="s">
        <v>479</v>
      </c>
      <c r="B410" s="529"/>
      <c r="C410" s="529"/>
      <c r="D410" s="529"/>
      <c r="E410" s="529"/>
      <c r="F410" s="529"/>
      <c r="G410" s="192"/>
      <c r="H410" s="192"/>
      <c r="I410" s="192"/>
      <c r="J410" s="225"/>
    </row>
    <row r="411" spans="1:17" s="269" customFormat="1" ht="56.25" x14ac:dyDescent="0.3">
      <c r="A411" s="256" t="s">
        <v>356</v>
      </c>
      <c r="B411" s="257" t="s">
        <v>105</v>
      </c>
      <c r="C411" s="258" t="s">
        <v>102</v>
      </c>
      <c r="D411" s="258" t="s">
        <v>67</v>
      </c>
      <c r="E411" s="258" t="s">
        <v>101</v>
      </c>
      <c r="F411" s="258" t="s">
        <v>347</v>
      </c>
      <c r="G411" s="272"/>
      <c r="P411" s="270"/>
      <c r="Q411" s="273"/>
    </row>
    <row r="412" spans="1:17" x14ac:dyDescent="0.3">
      <c r="A412" s="252" t="s">
        <v>146</v>
      </c>
      <c r="B412" s="254"/>
      <c r="C412" s="250"/>
      <c r="D412" s="165"/>
      <c r="E412" s="165"/>
      <c r="F412" s="166"/>
      <c r="G412" s="226"/>
      <c r="P412" s="194"/>
      <c r="Q412" s="196"/>
    </row>
    <row r="413" spans="1:17" x14ac:dyDescent="0.3">
      <c r="A413" s="266" t="s">
        <v>357</v>
      </c>
      <c r="B413" s="261" t="s">
        <v>147</v>
      </c>
      <c r="C413" s="481" t="s">
        <v>358</v>
      </c>
      <c r="D413" s="67"/>
      <c r="E413" s="67"/>
      <c r="F413" s="68"/>
      <c r="G413" s="72"/>
      <c r="P413" s="194"/>
      <c r="Q413" s="196"/>
    </row>
    <row r="414" spans="1:17" x14ac:dyDescent="0.3">
      <c r="A414" s="267"/>
      <c r="B414" s="263" t="s">
        <v>148</v>
      </c>
      <c r="C414" s="263" t="s">
        <v>358</v>
      </c>
      <c r="D414" s="67">
        <f>SUM(E414:F414)</f>
        <v>308640</v>
      </c>
      <c r="E414" s="67">
        <f>[5]รวมปี!$S$408</f>
        <v>308640</v>
      </c>
      <c r="F414" s="68"/>
      <c r="G414" s="72"/>
      <c r="P414" s="194"/>
      <c r="Q414" s="196"/>
    </row>
    <row r="415" spans="1:17" x14ac:dyDescent="0.3">
      <c r="A415" s="267"/>
      <c r="B415" s="263"/>
      <c r="C415" s="263" t="s">
        <v>359</v>
      </c>
      <c r="D415" s="67"/>
      <c r="E415" s="67"/>
      <c r="F415" s="68"/>
      <c r="G415" s="72"/>
      <c r="P415" s="194"/>
      <c r="Q415" s="196"/>
    </row>
    <row r="416" spans="1:17" x14ac:dyDescent="0.3">
      <c r="A416" s="267" t="s">
        <v>360</v>
      </c>
      <c r="B416" s="263" t="s">
        <v>109</v>
      </c>
      <c r="C416" s="263" t="s">
        <v>358</v>
      </c>
      <c r="D416" s="67">
        <f>SUM(E416:F416)</f>
        <v>63720</v>
      </c>
      <c r="E416" s="67">
        <f>SUM([5]รวมปี!$S$411:$S$414)</f>
        <v>63720</v>
      </c>
      <c r="F416" s="68"/>
      <c r="G416" s="72"/>
      <c r="P416" s="194"/>
      <c r="Q416" s="196"/>
    </row>
    <row r="417" spans="1:17" x14ac:dyDescent="0.3">
      <c r="A417" s="267"/>
      <c r="B417" s="263"/>
      <c r="C417" s="263" t="s">
        <v>359</v>
      </c>
      <c r="D417" s="67"/>
      <c r="E417" s="67"/>
      <c r="F417" s="68"/>
      <c r="G417" s="72"/>
      <c r="P417" s="194"/>
      <c r="Q417" s="196"/>
    </row>
    <row r="418" spans="1:17" x14ac:dyDescent="0.3">
      <c r="A418" s="267"/>
      <c r="B418" s="263" t="s">
        <v>112</v>
      </c>
      <c r="C418" s="263" t="s">
        <v>358</v>
      </c>
      <c r="D418" s="67">
        <f>SUM(E418:F418)</f>
        <v>99870</v>
      </c>
      <c r="E418" s="67">
        <f>SUM([5]รวมปี!$S$417:$S$424)</f>
        <v>99870</v>
      </c>
      <c r="F418" s="68"/>
      <c r="P418" s="194"/>
      <c r="Q418" s="195"/>
    </row>
    <row r="419" spans="1:17" x14ac:dyDescent="0.3">
      <c r="A419" s="267"/>
      <c r="B419" s="263"/>
      <c r="C419" s="263" t="s">
        <v>359</v>
      </c>
      <c r="D419" s="67"/>
      <c r="E419" s="67"/>
      <c r="F419" s="68"/>
      <c r="G419" s="226"/>
      <c r="P419" s="194"/>
      <c r="Q419" s="196"/>
    </row>
    <row r="420" spans="1:17" x14ac:dyDescent="0.3">
      <c r="A420" s="267"/>
      <c r="B420" s="263" t="s">
        <v>110</v>
      </c>
      <c r="C420" s="263" t="s">
        <v>358</v>
      </c>
      <c r="D420" s="67">
        <f>SUM(E420:F420)</f>
        <v>43280</v>
      </c>
      <c r="E420" s="67">
        <f>SUM([5]รวมปี!$S$426:$S$428)</f>
        <v>43280</v>
      </c>
      <c r="F420" s="68"/>
      <c r="G420" s="226"/>
      <c r="P420" s="194"/>
      <c r="Q420" s="196"/>
    </row>
    <row r="421" spans="1:17" x14ac:dyDescent="0.3">
      <c r="A421" s="267"/>
      <c r="B421" s="263" t="s">
        <v>149</v>
      </c>
      <c r="C421" s="263" t="s">
        <v>358</v>
      </c>
      <c r="D421" s="67"/>
      <c r="E421" s="67"/>
      <c r="F421" s="68"/>
      <c r="G421" s="226"/>
      <c r="P421" s="194"/>
      <c r="Q421" s="196"/>
    </row>
    <row r="422" spans="1:17" x14ac:dyDescent="0.3">
      <c r="A422" s="267" t="s">
        <v>361</v>
      </c>
      <c r="B422" s="263" t="s">
        <v>150</v>
      </c>
      <c r="C422" s="263" t="s">
        <v>358</v>
      </c>
      <c r="D422" s="67">
        <f>SUM(E422:F422)</f>
        <v>0</v>
      </c>
      <c r="E422" s="67"/>
      <c r="F422" s="68"/>
      <c r="G422" s="226"/>
      <c r="P422" s="194"/>
      <c r="Q422" s="196"/>
    </row>
    <row r="423" spans="1:17" x14ac:dyDescent="0.3">
      <c r="A423" s="267"/>
      <c r="B423" s="263" t="s">
        <v>364</v>
      </c>
      <c r="C423" s="263" t="s">
        <v>358</v>
      </c>
      <c r="D423" s="67">
        <f>SUM(E423:F423)</f>
        <v>7000</v>
      </c>
      <c r="E423" s="67">
        <f>[5]รวมปี!$S$431</f>
        <v>7000</v>
      </c>
      <c r="F423" s="68"/>
      <c r="G423" s="226"/>
      <c r="P423" s="194"/>
      <c r="Q423" s="196"/>
    </row>
    <row r="424" spans="1:17" x14ac:dyDescent="0.3">
      <c r="A424" s="267"/>
      <c r="B424" s="263" t="s">
        <v>365</v>
      </c>
      <c r="C424" s="263" t="s">
        <v>359</v>
      </c>
      <c r="D424" s="67"/>
      <c r="E424" s="67"/>
      <c r="F424" s="68"/>
      <c r="G424" s="226"/>
      <c r="P424" s="194"/>
      <c r="Q424" s="196"/>
    </row>
    <row r="425" spans="1:17" x14ac:dyDescent="0.3">
      <c r="A425" s="267" t="s">
        <v>362</v>
      </c>
      <c r="B425" s="263" t="s">
        <v>111</v>
      </c>
      <c r="C425" s="263" t="s">
        <v>358</v>
      </c>
      <c r="D425" s="67"/>
      <c r="E425" s="67"/>
      <c r="F425" s="68"/>
      <c r="G425" s="226"/>
      <c r="P425" s="194"/>
      <c r="Q425" s="196"/>
    </row>
    <row r="426" spans="1:17" x14ac:dyDescent="0.3">
      <c r="A426" s="267" t="s">
        <v>363</v>
      </c>
      <c r="B426" s="263" t="s">
        <v>117</v>
      </c>
      <c r="C426" s="263" t="s">
        <v>358</v>
      </c>
      <c r="D426" s="67"/>
      <c r="E426" s="67"/>
      <c r="F426" s="68"/>
      <c r="G426" s="226"/>
      <c r="P426" s="194"/>
      <c r="Q426" s="196"/>
    </row>
    <row r="427" spans="1:17" x14ac:dyDescent="0.3">
      <c r="A427" s="267" t="s">
        <v>145</v>
      </c>
      <c r="B427" s="263" t="s">
        <v>145</v>
      </c>
      <c r="C427" s="263" t="s">
        <v>358</v>
      </c>
      <c r="D427" s="67"/>
      <c r="E427" s="67"/>
      <c r="F427" s="68"/>
      <c r="G427" s="226"/>
      <c r="P427" s="174"/>
      <c r="Q427" s="196"/>
    </row>
    <row r="428" spans="1:17" x14ac:dyDescent="0.3">
      <c r="A428" s="253"/>
      <c r="B428" s="264"/>
      <c r="C428" s="265" t="s">
        <v>359</v>
      </c>
      <c r="D428" s="243"/>
      <c r="E428" s="176"/>
      <c r="F428" s="200"/>
      <c r="G428" s="226"/>
      <c r="P428" s="174"/>
      <c r="Q428" s="196"/>
    </row>
    <row r="429" spans="1:17" ht="19.5" thickBot="1" x14ac:dyDescent="0.35">
      <c r="A429" s="526" t="s">
        <v>67</v>
      </c>
      <c r="B429" s="527" t="s">
        <v>67</v>
      </c>
      <c r="C429" s="528">
        <f>SUM(C413:C428)</f>
        <v>0</v>
      </c>
      <c r="D429" s="70">
        <f>SUM(D413:D428)</f>
        <v>522510</v>
      </c>
      <c r="E429" s="70">
        <f>SUM(E413:E428)</f>
        <v>522510</v>
      </c>
      <c r="F429" s="70">
        <f>SUM(F413:F428)</f>
        <v>0</v>
      </c>
      <c r="G429" s="228"/>
      <c r="P429" s="214"/>
      <c r="Q429" s="196"/>
    </row>
    <row r="430" spans="1:17" ht="19.5" thickTop="1" x14ac:dyDescent="0.3">
      <c r="A430" s="246"/>
      <c r="B430" s="186"/>
      <c r="C430" s="212"/>
      <c r="D430" s="212"/>
      <c r="E430" s="248"/>
      <c r="F430" s="207"/>
      <c r="G430" s="72"/>
      <c r="H430" s="72"/>
      <c r="I430" s="72"/>
    </row>
    <row r="431" spans="1:17" x14ac:dyDescent="0.3">
      <c r="A431" s="186"/>
      <c r="B431" s="186"/>
      <c r="C431" s="212"/>
      <c r="D431" s="212"/>
      <c r="E431" s="212"/>
      <c r="F431" s="72"/>
      <c r="G431" s="72"/>
      <c r="H431" s="72"/>
      <c r="I431" s="72"/>
    </row>
    <row r="432" spans="1:17" x14ac:dyDescent="0.3">
      <c r="A432" s="186"/>
      <c r="B432" s="186"/>
      <c r="C432" s="212"/>
      <c r="D432" s="212"/>
      <c r="E432" s="212"/>
      <c r="F432" s="72"/>
      <c r="G432" s="72"/>
      <c r="H432" s="72"/>
      <c r="I432" s="72"/>
    </row>
    <row r="433" spans="1:9" x14ac:dyDescent="0.3">
      <c r="A433" s="186"/>
      <c r="B433" s="186"/>
      <c r="C433" s="212"/>
      <c r="D433" s="212"/>
      <c r="E433" s="212"/>
      <c r="F433" s="72"/>
      <c r="G433" s="72"/>
      <c r="H433" s="72"/>
      <c r="I433" s="72"/>
    </row>
    <row r="434" spans="1:9" x14ac:dyDescent="0.3">
      <c r="A434" s="186"/>
      <c r="B434" s="247"/>
      <c r="C434" s="212"/>
      <c r="D434" s="212"/>
      <c r="E434" s="212"/>
      <c r="F434" s="72"/>
      <c r="G434" s="72"/>
      <c r="H434" s="72"/>
      <c r="I434" s="72"/>
    </row>
    <row r="435" spans="1:9" x14ac:dyDescent="0.3">
      <c r="A435" s="186"/>
      <c r="B435" s="186"/>
      <c r="C435" s="212"/>
      <c r="D435" s="212"/>
      <c r="E435" s="212"/>
      <c r="F435" s="72"/>
      <c r="G435" s="72"/>
      <c r="H435" s="72"/>
      <c r="I435" s="72"/>
    </row>
    <row r="436" spans="1:9" x14ac:dyDescent="0.3">
      <c r="A436" s="186"/>
      <c r="B436" s="186"/>
      <c r="C436" s="212"/>
      <c r="D436" s="212"/>
      <c r="E436" s="212"/>
      <c r="F436" s="72"/>
      <c r="G436" s="72"/>
      <c r="H436" s="72"/>
      <c r="I436" s="72"/>
    </row>
    <row r="437" spans="1:9" x14ac:dyDescent="0.3">
      <c r="A437" s="186"/>
      <c r="B437" s="186"/>
      <c r="C437" s="239"/>
      <c r="D437" s="239"/>
      <c r="E437" s="212"/>
      <c r="F437" s="72"/>
      <c r="G437" s="72"/>
      <c r="H437" s="72"/>
      <c r="I437" s="72"/>
    </row>
    <row r="438" spans="1:9" x14ac:dyDescent="0.3">
      <c r="A438" s="186"/>
      <c r="B438" s="186"/>
      <c r="C438" s="212"/>
      <c r="D438" s="212"/>
      <c r="E438" s="212"/>
      <c r="F438" s="72"/>
      <c r="G438" s="72"/>
      <c r="H438" s="72"/>
      <c r="I438" s="72"/>
    </row>
    <row r="439" spans="1:9" x14ac:dyDescent="0.3">
      <c r="A439" s="186"/>
      <c r="B439" s="186"/>
      <c r="C439" s="239"/>
      <c r="D439" s="239"/>
      <c r="E439" s="212"/>
      <c r="F439" s="72"/>
      <c r="G439" s="72"/>
      <c r="H439" s="72"/>
      <c r="I439" s="72"/>
    </row>
    <row r="440" spans="1:9" x14ac:dyDescent="0.3">
      <c r="A440" s="186"/>
      <c r="B440" s="189"/>
      <c r="C440" s="211"/>
      <c r="D440" s="211"/>
      <c r="E440" s="212"/>
      <c r="F440" s="72"/>
      <c r="G440" s="72"/>
      <c r="H440" s="72"/>
      <c r="I440" s="72"/>
    </row>
    <row r="441" spans="1:9" x14ac:dyDescent="0.3">
      <c r="A441" s="186"/>
      <c r="B441" s="189"/>
      <c r="C441" s="212"/>
      <c r="D441" s="212"/>
      <c r="E441" s="212"/>
      <c r="F441" s="72"/>
      <c r="G441" s="72"/>
      <c r="H441" s="72"/>
      <c r="I441" s="72"/>
    </row>
    <row r="442" spans="1:9" x14ac:dyDescent="0.3">
      <c r="A442" s="186"/>
      <c r="B442" s="189"/>
      <c r="C442" s="212"/>
      <c r="D442" s="212"/>
      <c r="E442" s="212"/>
      <c r="F442" s="72"/>
      <c r="G442" s="72"/>
      <c r="H442" s="72"/>
      <c r="I442" s="72"/>
    </row>
    <row r="443" spans="1:9" x14ac:dyDescent="0.3">
      <c r="A443" s="186"/>
      <c r="B443" s="189"/>
      <c r="C443" s="212"/>
      <c r="D443" s="212"/>
      <c r="E443" s="212"/>
      <c r="F443" s="72"/>
      <c r="G443" s="72"/>
      <c r="H443" s="72"/>
      <c r="I443" s="72"/>
    </row>
    <row r="444" spans="1:9" x14ac:dyDescent="0.3">
      <c r="A444" s="186"/>
      <c r="B444" s="189"/>
      <c r="C444" s="212"/>
      <c r="D444" s="212"/>
      <c r="E444" s="212"/>
      <c r="F444" s="72"/>
      <c r="G444" s="72"/>
      <c r="H444" s="72"/>
      <c r="I444" s="72"/>
    </row>
    <row r="445" spans="1:9" x14ac:dyDescent="0.3">
      <c r="A445" s="186"/>
      <c r="B445" s="189"/>
      <c r="C445" s="212"/>
      <c r="D445" s="212"/>
      <c r="E445" s="212"/>
      <c r="F445" s="72"/>
      <c r="G445" s="72"/>
      <c r="H445" s="72"/>
      <c r="I445" s="72"/>
    </row>
    <row r="446" spans="1:9" x14ac:dyDescent="0.3">
      <c r="A446" s="186"/>
      <c r="B446" s="189"/>
      <c r="C446" s="212"/>
      <c r="D446" s="212"/>
      <c r="E446" s="212"/>
      <c r="F446" s="72"/>
      <c r="G446" s="72"/>
      <c r="H446" s="72"/>
      <c r="I446" s="72"/>
    </row>
    <row r="447" spans="1:9" x14ac:dyDescent="0.3">
      <c r="A447" s="186"/>
      <c r="B447" s="189"/>
      <c r="C447" s="212"/>
      <c r="D447" s="212"/>
      <c r="E447" s="212"/>
      <c r="F447" s="72"/>
      <c r="G447" s="72"/>
      <c r="H447" s="72"/>
      <c r="I447" s="72"/>
    </row>
    <row r="448" spans="1:9" x14ac:dyDescent="0.3">
      <c r="A448" s="186"/>
      <c r="B448" s="189"/>
      <c r="C448" s="212"/>
      <c r="D448" s="212"/>
      <c r="E448" s="212"/>
      <c r="F448" s="72"/>
      <c r="G448" s="72"/>
      <c r="H448" s="72"/>
      <c r="I448" s="72"/>
    </row>
    <row r="449" spans="1:17" s="17" customFormat="1" ht="23.25" x14ac:dyDescent="0.35">
      <c r="A449" s="524" t="s">
        <v>0</v>
      </c>
      <c r="B449" s="524"/>
      <c r="C449" s="524"/>
      <c r="D449" s="524"/>
      <c r="E449" s="524"/>
      <c r="F449" s="524"/>
    </row>
    <row r="450" spans="1:17" s="17" customFormat="1" ht="23.25" x14ac:dyDescent="0.35">
      <c r="A450" s="524" t="s">
        <v>348</v>
      </c>
      <c r="B450" s="524"/>
      <c r="C450" s="524"/>
      <c r="D450" s="524"/>
      <c r="E450" s="524"/>
      <c r="F450" s="524"/>
    </row>
    <row r="451" spans="1:17" s="17" customFormat="1" ht="23.25" x14ac:dyDescent="0.35">
      <c r="A451" s="529" t="s">
        <v>479</v>
      </c>
      <c r="B451" s="529"/>
      <c r="C451" s="529"/>
      <c r="D451" s="529"/>
      <c r="E451" s="529"/>
      <c r="F451" s="530"/>
    </row>
    <row r="452" spans="1:17" s="269" customFormat="1" x14ac:dyDescent="0.3">
      <c r="A452" s="256" t="s">
        <v>356</v>
      </c>
      <c r="B452" s="257" t="s">
        <v>105</v>
      </c>
      <c r="C452" s="258" t="s">
        <v>102</v>
      </c>
      <c r="D452" s="258" t="s">
        <v>67</v>
      </c>
      <c r="E452" s="258" t="s">
        <v>145</v>
      </c>
      <c r="F452" s="268"/>
      <c r="P452" s="270"/>
      <c r="Q452" s="271"/>
    </row>
    <row r="453" spans="1:17" x14ac:dyDescent="0.3">
      <c r="A453" s="252" t="s">
        <v>146</v>
      </c>
      <c r="B453" s="254"/>
      <c r="C453" s="250"/>
      <c r="D453" s="165"/>
      <c r="E453" s="165"/>
      <c r="F453" s="226"/>
      <c r="P453" s="194"/>
      <c r="Q453" s="195"/>
    </row>
    <row r="454" spans="1:17" x14ac:dyDescent="0.3">
      <c r="A454" s="266" t="s">
        <v>357</v>
      </c>
      <c r="B454" s="261" t="s">
        <v>147</v>
      </c>
      <c r="C454" s="481" t="s">
        <v>358</v>
      </c>
      <c r="D454" s="67"/>
      <c r="E454" s="67"/>
      <c r="F454" s="226"/>
      <c r="P454" s="194"/>
      <c r="Q454" s="195"/>
    </row>
    <row r="455" spans="1:17" x14ac:dyDescent="0.3">
      <c r="A455" s="267"/>
      <c r="B455" s="263" t="s">
        <v>148</v>
      </c>
      <c r="C455" s="263" t="s">
        <v>358</v>
      </c>
      <c r="D455" s="67"/>
      <c r="E455" s="67"/>
      <c r="F455" s="226"/>
      <c r="P455" s="194"/>
      <c r="Q455" s="195"/>
    </row>
    <row r="456" spans="1:17" x14ac:dyDescent="0.3">
      <c r="A456" s="267"/>
      <c r="B456" s="263"/>
      <c r="C456" s="263" t="s">
        <v>359</v>
      </c>
      <c r="D456" s="67"/>
      <c r="E456" s="67"/>
      <c r="F456" s="226"/>
      <c r="P456" s="194"/>
      <c r="Q456" s="195"/>
    </row>
    <row r="457" spans="1:17" x14ac:dyDescent="0.3">
      <c r="A457" s="267" t="s">
        <v>360</v>
      </c>
      <c r="B457" s="263" t="s">
        <v>109</v>
      </c>
      <c r="C457" s="263" t="s">
        <v>358</v>
      </c>
      <c r="D457" s="67"/>
      <c r="E457" s="67"/>
      <c r="F457" s="226"/>
      <c r="P457" s="194"/>
      <c r="Q457" s="195"/>
    </row>
    <row r="458" spans="1:17" x14ac:dyDescent="0.3">
      <c r="A458" s="267"/>
      <c r="B458" s="263"/>
      <c r="C458" s="263" t="s">
        <v>359</v>
      </c>
      <c r="D458" s="67"/>
      <c r="E458" s="67"/>
      <c r="F458" s="226"/>
      <c r="P458" s="194"/>
      <c r="Q458" s="195"/>
    </row>
    <row r="459" spans="1:17" x14ac:dyDescent="0.3">
      <c r="A459" s="267"/>
      <c r="B459" s="263" t="s">
        <v>112</v>
      </c>
      <c r="C459" s="263" t="s">
        <v>358</v>
      </c>
      <c r="D459" s="215"/>
      <c r="E459" s="170"/>
      <c r="F459" s="226"/>
      <c r="P459" s="196"/>
      <c r="Q459" s="198"/>
    </row>
    <row r="460" spans="1:17" x14ac:dyDescent="0.3">
      <c r="A460" s="267"/>
      <c r="B460" s="263"/>
      <c r="C460" s="263" t="s">
        <v>359</v>
      </c>
      <c r="D460" s="67"/>
      <c r="E460" s="67"/>
      <c r="F460" s="226"/>
      <c r="P460" s="194"/>
      <c r="Q460" s="195"/>
    </row>
    <row r="461" spans="1:17" x14ac:dyDescent="0.3">
      <c r="A461" s="267"/>
      <c r="B461" s="263" t="s">
        <v>110</v>
      </c>
      <c r="C461" s="263" t="s">
        <v>358</v>
      </c>
      <c r="D461" s="67"/>
      <c r="E461" s="67"/>
      <c r="F461" s="226"/>
      <c r="P461" s="194"/>
      <c r="Q461" s="195"/>
    </row>
    <row r="462" spans="1:17" x14ac:dyDescent="0.3">
      <c r="A462" s="267"/>
      <c r="B462" s="263" t="s">
        <v>149</v>
      </c>
      <c r="C462" s="263" t="s">
        <v>358</v>
      </c>
      <c r="D462" s="67"/>
      <c r="E462" s="67"/>
      <c r="F462" s="226"/>
      <c r="P462" s="194"/>
      <c r="Q462" s="195"/>
    </row>
    <row r="463" spans="1:17" x14ac:dyDescent="0.3">
      <c r="A463" s="267" t="s">
        <v>361</v>
      </c>
      <c r="B463" s="263" t="s">
        <v>150</v>
      </c>
      <c r="C463" s="263" t="s">
        <v>358</v>
      </c>
      <c r="D463" s="67"/>
      <c r="E463" s="67"/>
      <c r="F463" s="226"/>
      <c r="P463" s="194"/>
      <c r="Q463" s="195"/>
    </row>
    <row r="464" spans="1:17" x14ac:dyDescent="0.3">
      <c r="A464" s="267"/>
      <c r="B464" s="263" t="s">
        <v>364</v>
      </c>
      <c r="C464" s="263" t="s">
        <v>358</v>
      </c>
      <c r="D464" s="67"/>
      <c r="E464" s="67"/>
      <c r="F464" s="226"/>
      <c r="P464" s="194"/>
      <c r="Q464" s="195"/>
    </row>
    <row r="465" spans="1:17" x14ac:dyDescent="0.3">
      <c r="A465" s="267"/>
      <c r="B465" s="263" t="s">
        <v>365</v>
      </c>
      <c r="C465" s="263" t="s">
        <v>359</v>
      </c>
      <c r="D465" s="67"/>
      <c r="E465" s="67"/>
      <c r="F465" s="226"/>
      <c r="P465" s="194"/>
      <c r="Q465" s="195"/>
    </row>
    <row r="466" spans="1:17" x14ac:dyDescent="0.3">
      <c r="A466" s="267" t="s">
        <v>362</v>
      </c>
      <c r="B466" s="263" t="s">
        <v>111</v>
      </c>
      <c r="C466" s="263" t="s">
        <v>358</v>
      </c>
      <c r="D466" s="67"/>
      <c r="E466" s="67"/>
      <c r="F466" s="226"/>
      <c r="P466" s="194"/>
      <c r="Q466" s="195"/>
    </row>
    <row r="467" spans="1:17" x14ac:dyDescent="0.3">
      <c r="A467" s="267" t="s">
        <v>363</v>
      </c>
      <c r="B467" s="263" t="s">
        <v>117</v>
      </c>
      <c r="C467" s="263" t="s">
        <v>358</v>
      </c>
      <c r="D467" s="67"/>
      <c r="E467" s="67"/>
      <c r="F467" s="226"/>
      <c r="P467" s="194"/>
      <c r="Q467" s="195"/>
    </row>
    <row r="468" spans="1:17" x14ac:dyDescent="0.3">
      <c r="A468" s="267" t="s">
        <v>145</v>
      </c>
      <c r="B468" s="263" t="s">
        <v>145</v>
      </c>
      <c r="C468" s="263" t="s">
        <v>358</v>
      </c>
      <c r="D468" s="67">
        <f>SUM(E468)</f>
        <v>9125925.1199999992</v>
      </c>
      <c r="E468" s="170">
        <f>SUM([5]รวมปี!$S$435:$S$445)</f>
        <v>9125925.1199999992</v>
      </c>
      <c r="F468" s="226"/>
      <c r="P468" s="174"/>
      <c r="Q468" s="195"/>
    </row>
    <row r="469" spans="1:17" x14ac:dyDescent="0.3">
      <c r="A469" s="253"/>
      <c r="B469" s="264"/>
      <c r="C469" s="265" t="s">
        <v>359</v>
      </c>
      <c r="D469" s="243"/>
      <c r="E469" s="176"/>
      <c r="F469" s="226"/>
      <c r="P469" s="174"/>
      <c r="Q469" s="195"/>
    </row>
    <row r="470" spans="1:17" ht="19.5" thickBot="1" x14ac:dyDescent="0.35">
      <c r="A470" s="526" t="s">
        <v>67</v>
      </c>
      <c r="B470" s="527" t="s">
        <v>67</v>
      </c>
      <c r="C470" s="528">
        <f>SUM(C454:C469)</f>
        <v>0</v>
      </c>
      <c r="D470" s="70">
        <f>SUM(D459:D469)</f>
        <v>9125925.1199999992</v>
      </c>
      <c r="E470" s="70">
        <f>SUM(E459:E469)</f>
        <v>9125925.1199999992</v>
      </c>
      <c r="F470" s="228"/>
      <c r="P470" s="214"/>
      <c r="Q470" s="198"/>
    </row>
    <row r="471" spans="1:17" ht="19.5" thickTop="1" x14ac:dyDescent="0.3">
      <c r="A471" s="246"/>
      <c r="B471" s="186"/>
      <c r="C471" s="212"/>
      <c r="D471" s="212"/>
      <c r="E471" s="248"/>
      <c r="F471" s="72"/>
    </row>
    <row r="472" spans="1:17" x14ac:dyDescent="0.3">
      <c r="A472" s="186"/>
      <c r="B472" s="186"/>
      <c r="C472" s="212"/>
      <c r="D472" s="212"/>
      <c r="E472" s="212"/>
      <c r="F472" s="72"/>
    </row>
    <row r="473" spans="1:17" x14ac:dyDescent="0.3">
      <c r="A473" s="186"/>
      <c r="B473" s="186"/>
      <c r="C473" s="212"/>
      <c r="D473" s="212"/>
      <c r="E473" s="212"/>
      <c r="F473" s="72"/>
    </row>
    <row r="474" spans="1:17" x14ac:dyDescent="0.3">
      <c r="A474" s="186"/>
      <c r="B474" s="186"/>
      <c r="C474" s="212"/>
      <c r="D474" s="212"/>
      <c r="E474" s="212"/>
      <c r="F474" s="72"/>
    </row>
    <row r="475" spans="1:17" x14ac:dyDescent="0.3">
      <c r="A475" s="186"/>
      <c r="B475" s="247"/>
      <c r="C475" s="212"/>
      <c r="D475" s="212"/>
      <c r="E475" s="212"/>
      <c r="F475" s="72"/>
    </row>
    <row r="476" spans="1:17" x14ac:dyDescent="0.3">
      <c r="A476" s="186"/>
      <c r="B476" s="186"/>
      <c r="C476" s="212"/>
      <c r="D476" s="212"/>
      <c r="E476" s="212"/>
      <c r="F476" s="72"/>
    </row>
    <row r="477" spans="1:17" x14ac:dyDescent="0.3">
      <c r="A477" s="186"/>
      <c r="B477" s="186"/>
      <c r="C477" s="212"/>
      <c r="D477" s="212"/>
      <c r="E477" s="212"/>
      <c r="F477" s="72"/>
    </row>
    <row r="478" spans="1:17" x14ac:dyDescent="0.3">
      <c r="A478" s="186"/>
      <c r="B478" s="186"/>
      <c r="C478" s="211"/>
      <c r="D478" s="211"/>
      <c r="E478" s="212"/>
      <c r="F478" s="72"/>
    </row>
    <row r="479" spans="1:17" x14ac:dyDescent="0.3">
      <c r="A479" s="186"/>
      <c r="B479" s="186"/>
      <c r="C479" s="212"/>
      <c r="D479" s="212"/>
      <c r="E479" s="212"/>
      <c r="F479" s="72"/>
    </row>
    <row r="480" spans="1:17" x14ac:dyDescent="0.3">
      <c r="A480" s="186"/>
      <c r="B480" s="186"/>
      <c r="C480" s="239"/>
      <c r="D480" s="239"/>
      <c r="E480" s="212"/>
      <c r="F480" s="72"/>
    </row>
    <row r="481" spans="1:6" x14ac:dyDescent="0.3">
      <c r="A481" s="186"/>
      <c r="B481" s="189"/>
      <c r="C481" s="211"/>
      <c r="D481" s="211"/>
      <c r="E481" s="212"/>
      <c r="F481" s="72"/>
    </row>
  </sheetData>
  <mergeCells count="48">
    <mergeCell ref="A185:C185"/>
    <mergeCell ref="A225:C225"/>
    <mergeCell ref="A449:F449"/>
    <mergeCell ref="A450:F450"/>
    <mergeCell ref="A103:C103"/>
    <mergeCell ref="A144:C144"/>
    <mergeCell ref="A368:G368"/>
    <mergeCell ref="A369:G369"/>
    <mergeCell ref="A370:G370"/>
    <mergeCell ref="A123:H123"/>
    <mergeCell ref="A124:H124"/>
    <mergeCell ref="A125:H125"/>
    <mergeCell ref="A164:H164"/>
    <mergeCell ref="A165:H165"/>
    <mergeCell ref="A166:H166"/>
    <mergeCell ref="A204:F204"/>
    <mergeCell ref="A205:F205"/>
    <mergeCell ref="A206:F206"/>
    <mergeCell ref="A266:C266"/>
    <mergeCell ref="A308:C308"/>
    <mergeCell ref="A349:C349"/>
    <mergeCell ref="A389:C389"/>
    <mergeCell ref="A429:C429"/>
    <mergeCell ref="A408:F408"/>
    <mergeCell ref="A409:F409"/>
    <mergeCell ref="A410:F410"/>
    <mergeCell ref="A1:O1"/>
    <mergeCell ref="A2:O2"/>
    <mergeCell ref="A3:O3"/>
    <mergeCell ref="A41:G41"/>
    <mergeCell ref="A42:G42"/>
    <mergeCell ref="A22:C22"/>
    <mergeCell ref="A470:C470"/>
    <mergeCell ref="A43:G43"/>
    <mergeCell ref="A82:G82"/>
    <mergeCell ref="A83:G83"/>
    <mergeCell ref="A84:G84"/>
    <mergeCell ref="A62:C62"/>
    <mergeCell ref="A451:F451"/>
    <mergeCell ref="A245:J245"/>
    <mergeCell ref="A246:J246"/>
    <mergeCell ref="A247:J247"/>
    <mergeCell ref="A287:G287"/>
    <mergeCell ref="A288:G288"/>
    <mergeCell ref="A289:G289"/>
    <mergeCell ref="A328:H328"/>
    <mergeCell ref="A329:H329"/>
    <mergeCell ref="A330:H330"/>
  </mergeCells>
  <pageMargins left="0.11811023622047245" right="0" top="0.43307086614173229" bottom="0.19685039370078741" header="0.23622047244094491" footer="0.15748031496062992"/>
  <pageSetup paperSize="9" scale="7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0"/>
  <sheetViews>
    <sheetView zoomScale="90" zoomScaleNormal="90" workbookViewId="0">
      <pane xSplit="2" topLeftCell="C1" activePane="topRight" state="frozen"/>
      <selection activeCell="A88" sqref="A88"/>
      <selection pane="topRight" activeCell="A47" sqref="A47:XFD48"/>
    </sheetView>
  </sheetViews>
  <sheetFormatPr defaultRowHeight="20.25" x14ac:dyDescent="0.3"/>
  <cols>
    <col min="1" max="1" width="2.140625" style="66" customWidth="1"/>
    <col min="2" max="2" width="28.140625" style="66" customWidth="1"/>
    <col min="3" max="4" width="15.7109375" style="75" customWidth="1"/>
    <col min="5" max="6" width="14.5703125" style="75" customWidth="1"/>
    <col min="7" max="7" width="16.85546875" style="1" customWidth="1"/>
    <col min="8" max="8" width="15.5703125" style="1" customWidth="1"/>
    <col min="9" max="16" width="14.7109375" style="1" customWidth="1"/>
    <col min="17" max="18" width="14.7109375" style="66" customWidth="1"/>
    <col min="19" max="19" width="15.7109375" style="66" bestFit="1" customWidth="1"/>
    <col min="20" max="22" width="13.85546875" style="66" bestFit="1" customWidth="1"/>
    <col min="23" max="23" width="15.7109375" style="66" bestFit="1" customWidth="1"/>
    <col min="24" max="25" width="13.85546875" style="66" bestFit="1" customWidth="1"/>
    <col min="26" max="26" width="12.42578125" style="66" bestFit="1" customWidth="1"/>
    <col min="27" max="27" width="15.7109375" style="66" bestFit="1" customWidth="1"/>
    <col min="28" max="16384" width="9.140625" style="66"/>
  </cols>
  <sheetData>
    <row r="1" spans="1:18" ht="23.25" x14ac:dyDescent="0.5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</row>
    <row r="2" spans="1:18" ht="23.25" x14ac:dyDescent="0.5">
      <c r="A2" s="524" t="s">
        <v>455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</row>
    <row r="3" spans="1:18" ht="23.25" x14ac:dyDescent="0.5">
      <c r="A3" s="524" t="s">
        <v>479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</row>
    <row r="4" spans="1:18" s="162" customFormat="1" ht="78.75" customHeight="1" x14ac:dyDescent="0.5">
      <c r="A4" s="525" t="s">
        <v>133</v>
      </c>
      <c r="B4" s="525"/>
      <c r="C4" s="161" t="s">
        <v>134</v>
      </c>
      <c r="D4" s="161" t="s">
        <v>353</v>
      </c>
      <c r="E4" s="161" t="s">
        <v>355</v>
      </c>
      <c r="F4" s="161" t="s">
        <v>481</v>
      </c>
      <c r="G4" s="161" t="s">
        <v>67</v>
      </c>
      <c r="H4" s="161" t="s">
        <v>135</v>
      </c>
      <c r="I4" s="161" t="s">
        <v>136</v>
      </c>
      <c r="J4" s="161" t="s">
        <v>137</v>
      </c>
      <c r="K4" s="161" t="s">
        <v>138</v>
      </c>
      <c r="L4" s="161" t="s">
        <v>139</v>
      </c>
      <c r="M4" s="161" t="s">
        <v>140</v>
      </c>
      <c r="N4" s="161" t="s">
        <v>141</v>
      </c>
      <c r="O4" s="161" t="s">
        <v>142</v>
      </c>
      <c r="P4" s="161" t="s">
        <v>143</v>
      </c>
      <c r="Q4" s="161" t="s">
        <v>144</v>
      </c>
      <c r="R4" s="161" t="s">
        <v>145</v>
      </c>
    </row>
    <row r="5" spans="1:18" s="168" customFormat="1" ht="18.75" x14ac:dyDescent="0.3">
      <c r="A5" s="163" t="s">
        <v>146</v>
      </c>
      <c r="B5" s="164"/>
      <c r="C5" s="165"/>
      <c r="D5" s="165"/>
      <c r="E5" s="165"/>
      <c r="F5" s="165"/>
      <c r="G5" s="165"/>
      <c r="H5" s="165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s="168" customFormat="1" ht="18.75" x14ac:dyDescent="0.3">
      <c r="A6" s="232"/>
      <c r="B6" s="233" t="s">
        <v>145</v>
      </c>
      <c r="C6" s="209">
        <f>[5]รวมปี!$C$468</f>
        <v>9463700</v>
      </c>
      <c r="D6" s="209">
        <f>SUM(H6:R6)-E6-F6</f>
        <v>9125925.1199999992</v>
      </c>
      <c r="E6" s="209">
        <v>0</v>
      </c>
      <c r="F6" s="209">
        <v>0</v>
      </c>
      <c r="G6" s="209">
        <f>SUM(D6:F6)</f>
        <v>9125925.1199999992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09">
        <v>0</v>
      </c>
      <c r="N6" s="209">
        <v>0</v>
      </c>
      <c r="O6" s="209">
        <v>0</v>
      </c>
      <c r="P6" s="209">
        <v>0</v>
      </c>
      <c r="Q6" s="209">
        <v>0</v>
      </c>
      <c r="R6" s="209">
        <f>แยกแผนงาน!O20</f>
        <v>9125925.1199999992</v>
      </c>
    </row>
    <row r="7" spans="1:18" s="168" customFormat="1" ht="18.75" x14ac:dyDescent="0.3">
      <c r="A7" s="232"/>
      <c r="B7" s="233" t="s">
        <v>147</v>
      </c>
      <c r="C7" s="209">
        <f>[5]รวมปี!$C$469</f>
        <v>2624640</v>
      </c>
      <c r="D7" s="209">
        <f t="shared" ref="D7:D16" si="0">SUM(H7:R7)-E7-F7</f>
        <v>2624640</v>
      </c>
      <c r="E7" s="209">
        <v>0</v>
      </c>
      <c r="F7" s="209">
        <v>0</v>
      </c>
      <c r="G7" s="209">
        <f t="shared" ref="G7:G16" si="1">SUM(D7:F7)</f>
        <v>2624640</v>
      </c>
      <c r="H7" s="209">
        <f>แยกแผนงาน!E6</f>
        <v>2624640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</row>
    <row r="8" spans="1:18" s="168" customFormat="1" ht="18.75" x14ac:dyDescent="0.3">
      <c r="A8" s="232"/>
      <c r="B8" s="233" t="s">
        <v>148</v>
      </c>
      <c r="C8" s="209">
        <f>[5]รวมปี!$C$470</f>
        <v>10962770</v>
      </c>
      <c r="D8" s="209">
        <f t="shared" si="0"/>
        <v>10024961</v>
      </c>
      <c r="E8" s="209">
        <f>45270</f>
        <v>45270</v>
      </c>
      <c r="F8" s="209">
        <v>0</v>
      </c>
      <c r="G8" s="209">
        <f t="shared" si="1"/>
        <v>10070231</v>
      </c>
      <c r="H8" s="209">
        <f>แยกแผนงาน!E7</f>
        <v>5240349</v>
      </c>
      <c r="I8" s="209">
        <f>แยกแผนงาน!D88</f>
        <v>413820</v>
      </c>
      <c r="J8" s="209">
        <f>แยกแผนงาน!D129+45270</f>
        <v>2839245</v>
      </c>
      <c r="K8" s="209">
        <v>0</v>
      </c>
      <c r="L8" s="209">
        <v>0</v>
      </c>
      <c r="M8" s="209">
        <f>แยกแผนงาน!J7</f>
        <v>1268177</v>
      </c>
      <c r="N8" s="209">
        <v>0</v>
      </c>
      <c r="O8" s="209">
        <v>0</v>
      </c>
      <c r="P8" s="209">
        <v>0</v>
      </c>
      <c r="Q8" s="209">
        <f>แยกแผนงาน!N7</f>
        <v>308640</v>
      </c>
      <c r="R8" s="209">
        <v>0</v>
      </c>
    </row>
    <row r="9" spans="1:18" s="168" customFormat="1" ht="18.75" x14ac:dyDescent="0.3">
      <c r="A9" s="232"/>
      <c r="B9" s="233" t="s">
        <v>109</v>
      </c>
      <c r="C9" s="209">
        <f>[5]รวมปี!$C$471</f>
        <v>1175520</v>
      </c>
      <c r="D9" s="209">
        <f t="shared" si="0"/>
        <v>993687</v>
      </c>
      <c r="E9" s="209">
        <f>50350+23450+4083</f>
        <v>77883</v>
      </c>
      <c r="F9" s="209">
        <v>0</v>
      </c>
      <c r="G9" s="209">
        <f t="shared" si="1"/>
        <v>1071570</v>
      </c>
      <c r="H9" s="209">
        <f>แยกแผนงาน!E9</f>
        <v>486205</v>
      </c>
      <c r="I9" s="209">
        <f>แยกแผนงาน!D90</f>
        <v>68700</v>
      </c>
      <c r="J9" s="209">
        <f>แยกแผนงาน!D131+50350+23450+4083</f>
        <v>290153</v>
      </c>
      <c r="K9" s="209">
        <v>0</v>
      </c>
      <c r="L9" s="209">
        <v>0</v>
      </c>
      <c r="M9" s="209">
        <f>แยกแผนงาน!J9</f>
        <v>162792</v>
      </c>
      <c r="N9" s="209">
        <v>0</v>
      </c>
      <c r="O9" s="209">
        <v>0</v>
      </c>
      <c r="P9" s="209">
        <v>0</v>
      </c>
      <c r="Q9" s="209">
        <f>แยกแผนงาน!N9</f>
        <v>63720</v>
      </c>
      <c r="R9" s="209">
        <v>0</v>
      </c>
    </row>
    <row r="10" spans="1:18" s="168" customFormat="1" ht="18.75" x14ac:dyDescent="0.3">
      <c r="A10" s="232"/>
      <c r="B10" s="233" t="s">
        <v>112</v>
      </c>
      <c r="C10" s="209">
        <f>[5]รวมปี!$C$472</f>
        <v>8316430</v>
      </c>
      <c r="D10" s="209">
        <f t="shared" si="0"/>
        <v>6908514.8700000001</v>
      </c>
      <c r="E10" s="209">
        <v>0</v>
      </c>
      <c r="F10" s="209">
        <v>0</v>
      </c>
      <c r="G10" s="209">
        <f t="shared" si="1"/>
        <v>6908514.8700000001</v>
      </c>
      <c r="H10" s="209">
        <f>แยกแผนงาน!E11</f>
        <v>1950386.87</v>
      </c>
      <c r="I10" s="209">
        <f>แยกแผนงาน!D92</f>
        <v>660654</v>
      </c>
      <c r="J10" s="209">
        <f>แยกแผนงาน!D133</f>
        <v>1866510</v>
      </c>
      <c r="K10" s="209">
        <f>แยกแผนงาน!D174</f>
        <v>0</v>
      </c>
      <c r="L10" s="209">
        <f>แยกแผนงาน!I11</f>
        <v>148080</v>
      </c>
      <c r="M10" s="209">
        <f>แยกแผนงาน!J11</f>
        <v>1937400</v>
      </c>
      <c r="N10" s="209">
        <f>แยกแผนงาน!K11</f>
        <v>87738</v>
      </c>
      <c r="O10" s="209">
        <f>แยกแผนงาน!L11</f>
        <v>157876</v>
      </c>
      <c r="P10" s="209">
        <v>0</v>
      </c>
      <c r="Q10" s="209">
        <f>แยกแผนงาน!N11</f>
        <v>99870</v>
      </c>
      <c r="R10" s="209">
        <v>0</v>
      </c>
    </row>
    <row r="11" spans="1:18" s="168" customFormat="1" ht="18.75" x14ac:dyDescent="0.3">
      <c r="A11" s="232"/>
      <c r="B11" s="233" t="s">
        <v>110</v>
      </c>
      <c r="C11" s="209">
        <f>[5]รวมปี!$C$473</f>
        <v>1869400</v>
      </c>
      <c r="D11" s="209">
        <f t="shared" si="0"/>
        <v>1475334.56</v>
      </c>
      <c r="E11" s="209">
        <v>0</v>
      </c>
      <c r="F11" s="209">
        <v>0</v>
      </c>
      <c r="G11" s="209">
        <f t="shared" si="1"/>
        <v>1475334.56</v>
      </c>
      <c r="H11" s="209">
        <f>แยกแผนงาน!E13</f>
        <v>467532.39999999997</v>
      </c>
      <c r="I11" s="209">
        <f>แยกแผนงาน!D94</f>
        <v>89950</v>
      </c>
      <c r="J11" s="209">
        <f>แยกแผนงาน!D135</f>
        <v>729841.16</v>
      </c>
      <c r="K11" s="209">
        <f>แยกแผนงาน!H13</f>
        <v>12000</v>
      </c>
      <c r="L11" s="209">
        <v>0</v>
      </c>
      <c r="M11" s="209">
        <f>แยกแผนงาน!J13</f>
        <v>132731</v>
      </c>
      <c r="N11" s="209">
        <v>0</v>
      </c>
      <c r="O11" s="209">
        <v>0</v>
      </c>
      <c r="P11" s="209">
        <v>0</v>
      </c>
      <c r="Q11" s="209">
        <f>แยกแผนงาน!N13</f>
        <v>43280</v>
      </c>
      <c r="R11" s="209">
        <v>0</v>
      </c>
    </row>
    <row r="12" spans="1:18" s="168" customFormat="1" ht="18.75" x14ac:dyDescent="0.3">
      <c r="A12" s="232"/>
      <c r="B12" s="233" t="s">
        <v>149</v>
      </c>
      <c r="C12" s="209">
        <f>[5]รวมปี!$C$474</f>
        <v>390000</v>
      </c>
      <c r="D12" s="209">
        <f t="shared" si="0"/>
        <v>313623.75</v>
      </c>
      <c r="E12" s="209">
        <v>0</v>
      </c>
      <c r="F12" s="209">
        <v>0</v>
      </c>
      <c r="G12" s="209">
        <f t="shared" si="1"/>
        <v>313623.75</v>
      </c>
      <c r="H12" s="209">
        <f>แยกแผนงาน!E14</f>
        <v>313623.75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</row>
    <row r="13" spans="1:18" s="168" customFormat="1" ht="18.75" x14ac:dyDescent="0.3">
      <c r="A13" s="232"/>
      <c r="B13" s="233" t="s">
        <v>150</v>
      </c>
      <c r="C13" s="209">
        <f>[5]รวมปี!$C$477</f>
        <v>951300</v>
      </c>
      <c r="D13" s="209">
        <f t="shared" si="0"/>
        <v>872104</v>
      </c>
      <c r="E13" s="209">
        <v>96000</v>
      </c>
      <c r="F13" s="209">
        <v>0</v>
      </c>
      <c r="G13" s="209">
        <f t="shared" si="1"/>
        <v>968104</v>
      </c>
      <c r="H13" s="209">
        <f>แยกแผนงาน!E15</f>
        <v>754444</v>
      </c>
      <c r="I13" s="209">
        <f>แยกแผนงาน!D96</f>
        <v>37680</v>
      </c>
      <c r="J13" s="209">
        <f>แยกแผนงาน!D137+96000</f>
        <v>111990</v>
      </c>
      <c r="K13" s="209">
        <f>แยกแผนงาน!H15</f>
        <v>53000</v>
      </c>
      <c r="L13" s="209">
        <v>0</v>
      </c>
      <c r="M13" s="209">
        <f>แยกแผนงาน!J15</f>
        <v>10990</v>
      </c>
      <c r="N13" s="209">
        <v>0</v>
      </c>
      <c r="O13" s="209">
        <v>0</v>
      </c>
      <c r="P13" s="209">
        <v>0</v>
      </c>
      <c r="Q13" s="209">
        <v>0</v>
      </c>
      <c r="R13" s="209">
        <v>0</v>
      </c>
    </row>
    <row r="14" spans="1:18" s="168" customFormat="1" ht="18.75" x14ac:dyDescent="0.3">
      <c r="A14" s="232"/>
      <c r="B14" s="233" t="s">
        <v>151</v>
      </c>
      <c r="C14" s="209">
        <f>[5]รวมปี!$C$478</f>
        <v>3299900</v>
      </c>
      <c r="D14" s="209">
        <f t="shared" si="0"/>
        <v>2760120.0000000009</v>
      </c>
      <c r="E14" s="209">
        <v>6535724.9699999997</v>
      </c>
      <c r="F14" s="209">
        <f>F60</f>
        <v>988000</v>
      </c>
      <c r="G14" s="209">
        <f t="shared" si="1"/>
        <v>10283844.970000001</v>
      </c>
      <c r="H14" s="209">
        <f>แยกแผนงาน!E16</f>
        <v>104500</v>
      </c>
      <c r="I14" s="209">
        <v>0</v>
      </c>
      <c r="J14" s="209">
        <f>แยกแผนงาน!G16</f>
        <v>235200</v>
      </c>
      <c r="K14" s="209">
        <v>0</v>
      </c>
      <c r="L14" s="209">
        <v>0</v>
      </c>
      <c r="M14" s="209">
        <f>แยกแผนงาน!J16+4330000</f>
        <v>5558000</v>
      </c>
      <c r="N14" s="209">
        <v>0</v>
      </c>
      <c r="O14" s="209">
        <v>0</v>
      </c>
      <c r="P14" s="209">
        <f>แยกแผนงาน!M16+2205724.97+710000</f>
        <v>4101144.97</v>
      </c>
      <c r="Q14" s="209">
        <f>แยกแผนงาน!N16+278000</f>
        <v>285000</v>
      </c>
      <c r="R14" s="209">
        <v>0</v>
      </c>
    </row>
    <row r="15" spans="1:18" s="168" customFormat="1" ht="18.75" x14ac:dyDescent="0.3">
      <c r="A15" s="232"/>
      <c r="B15" s="233" t="s">
        <v>111</v>
      </c>
      <c r="C15" s="209">
        <f>[5]รวมปี!$C$476</f>
        <v>55000</v>
      </c>
      <c r="D15" s="209">
        <f t="shared" si="0"/>
        <v>38200</v>
      </c>
      <c r="E15" s="209">
        <v>0</v>
      </c>
      <c r="F15" s="209">
        <v>0</v>
      </c>
      <c r="G15" s="209">
        <f t="shared" si="1"/>
        <v>38200</v>
      </c>
      <c r="H15" s="209">
        <f>แยกแผนงาน!E18</f>
        <v>28600</v>
      </c>
      <c r="I15" s="209">
        <v>0</v>
      </c>
      <c r="J15" s="209">
        <v>0</v>
      </c>
      <c r="K15" s="209">
        <v>0</v>
      </c>
      <c r="L15" s="209">
        <v>0</v>
      </c>
      <c r="M15" s="209">
        <f>แยกแผนงาน!J18</f>
        <v>9600</v>
      </c>
      <c r="N15" s="209">
        <v>0</v>
      </c>
      <c r="O15" s="209">
        <v>0</v>
      </c>
      <c r="P15" s="209">
        <v>0</v>
      </c>
      <c r="Q15" s="209">
        <v>0</v>
      </c>
      <c r="R15" s="209">
        <v>0</v>
      </c>
    </row>
    <row r="16" spans="1:18" s="168" customFormat="1" ht="18.75" x14ac:dyDescent="0.3">
      <c r="A16" s="234"/>
      <c r="B16" s="236" t="s">
        <v>117</v>
      </c>
      <c r="C16" s="209">
        <f>[5]รวมปี!$C$475</f>
        <v>1503000</v>
      </c>
      <c r="D16" s="209">
        <f t="shared" si="0"/>
        <v>1298000</v>
      </c>
      <c r="E16" s="209">
        <v>0</v>
      </c>
      <c r="F16" s="209">
        <v>0</v>
      </c>
      <c r="G16" s="209">
        <f t="shared" si="1"/>
        <v>1298000</v>
      </c>
      <c r="H16" s="209">
        <f>แยกแผนงาน!E19</f>
        <v>40000</v>
      </c>
      <c r="I16" s="209">
        <v>0</v>
      </c>
      <c r="J16" s="209">
        <f>แยกแผนงาน!G19</f>
        <v>1048000</v>
      </c>
      <c r="K16" s="209">
        <f>แยกแผนงาน!H19</f>
        <v>40000</v>
      </c>
      <c r="L16" s="209">
        <v>0</v>
      </c>
      <c r="M16" s="209">
        <v>0</v>
      </c>
      <c r="N16" s="209">
        <f>แยกแผนงาน!K19</f>
        <v>110000</v>
      </c>
      <c r="O16" s="209">
        <f>แยกแผนงาน!L19</f>
        <v>60000</v>
      </c>
      <c r="P16" s="209">
        <v>0</v>
      </c>
      <c r="Q16" s="209">
        <v>0</v>
      </c>
      <c r="R16" s="209">
        <v>0</v>
      </c>
    </row>
    <row r="17" spans="1:20" s="168" customFormat="1" ht="19.5" thickBot="1" x14ac:dyDescent="0.3">
      <c r="A17" s="210"/>
      <c r="B17" s="73" t="s">
        <v>67</v>
      </c>
      <c r="C17" s="69">
        <f>SUM(C6:C16)</f>
        <v>40611660</v>
      </c>
      <c r="D17" s="69">
        <f>SUM(D6:D16)</f>
        <v>36435110.299999997</v>
      </c>
      <c r="E17" s="69">
        <f>SUM(E6:E16)</f>
        <v>6754877.9699999997</v>
      </c>
      <c r="F17" s="69">
        <f>SUM(F6:F16)</f>
        <v>988000</v>
      </c>
      <c r="G17" s="69">
        <f>SUM(G6:G16)</f>
        <v>44177988.269999996</v>
      </c>
      <c r="H17" s="69">
        <f t="shared" ref="H17:Q17" si="2">SUM(H6:H16)</f>
        <v>12010281.020000001</v>
      </c>
      <c r="I17" s="69">
        <f t="shared" si="2"/>
        <v>1270804</v>
      </c>
      <c r="J17" s="69">
        <f>SUM(J6:J16)</f>
        <v>7120939.1600000001</v>
      </c>
      <c r="K17" s="69">
        <f t="shared" si="2"/>
        <v>105000</v>
      </c>
      <c r="L17" s="69">
        <f t="shared" si="2"/>
        <v>148080</v>
      </c>
      <c r="M17" s="69">
        <f t="shared" si="2"/>
        <v>9079690</v>
      </c>
      <c r="N17" s="69">
        <f t="shared" si="2"/>
        <v>197738</v>
      </c>
      <c r="O17" s="69">
        <f t="shared" si="2"/>
        <v>217876</v>
      </c>
      <c r="P17" s="69">
        <f>SUM(P6:P16)</f>
        <v>4101144.97</v>
      </c>
      <c r="Q17" s="69">
        <f t="shared" si="2"/>
        <v>800510</v>
      </c>
      <c r="R17" s="69">
        <f>SUM(R6:R16)</f>
        <v>9125925.1199999992</v>
      </c>
    </row>
    <row r="18" spans="1:20" s="168" customFormat="1" ht="19.5" thickTop="1" x14ac:dyDescent="0.25">
      <c r="A18" s="163" t="s">
        <v>152</v>
      </c>
      <c r="B18" s="164"/>
      <c r="C18" s="237"/>
      <c r="D18" s="237"/>
      <c r="E18" s="237"/>
      <c r="F18" s="237"/>
      <c r="G18" s="237"/>
      <c r="H18" s="358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60"/>
      <c r="T18" s="361"/>
    </row>
    <row r="19" spans="1:20" s="168" customFormat="1" ht="18.75" x14ac:dyDescent="0.3">
      <c r="A19" s="232"/>
      <c r="B19" s="233" t="s">
        <v>153</v>
      </c>
      <c r="C19" s="209">
        <f>[5]รวมปี!$C$482</f>
        <v>946000</v>
      </c>
      <c r="D19" s="209">
        <f>[6]ทะเบียนรายรับ!$H$451</f>
        <v>1150317.6000000001</v>
      </c>
      <c r="E19" s="209"/>
      <c r="F19" s="209"/>
      <c r="G19" s="209">
        <f>SUM(D19:E19)</f>
        <v>1150317.6000000001</v>
      </c>
      <c r="H19" s="224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20" s="168" customFormat="1" ht="18.75" x14ac:dyDescent="0.3">
      <c r="A20" s="232"/>
      <c r="B20" s="233" t="s">
        <v>154</v>
      </c>
      <c r="C20" s="209">
        <f>[5]รวมปี!$C$483</f>
        <v>538110</v>
      </c>
      <c r="D20" s="173">
        <f>[6]ทะเบียนรายรับ!$AD$451</f>
        <v>634486.80000000005</v>
      </c>
      <c r="E20" s="173"/>
      <c r="F20" s="173"/>
      <c r="G20" s="209">
        <f t="shared" ref="G20:G27" si="3">SUM(D20:E20)</f>
        <v>634486.80000000005</v>
      </c>
      <c r="H20" s="224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20" s="168" customFormat="1" ht="18.75" x14ac:dyDescent="0.3">
      <c r="A21" s="232"/>
      <c r="B21" s="233" t="s">
        <v>155</v>
      </c>
      <c r="C21" s="209">
        <f>[5]รวมปี!$C$484</f>
        <v>400000</v>
      </c>
      <c r="D21" s="173">
        <f>[6]ทะเบียนรายรับ!$AI$451</f>
        <v>251980.50999999998</v>
      </c>
      <c r="E21" s="173"/>
      <c r="F21" s="173"/>
      <c r="G21" s="209">
        <f t="shared" si="3"/>
        <v>251980.50999999998</v>
      </c>
      <c r="H21" s="224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20" s="168" customFormat="1" ht="18.75" x14ac:dyDescent="0.3">
      <c r="A22" s="232"/>
      <c r="B22" s="233" t="s">
        <v>156</v>
      </c>
      <c r="C22" s="209"/>
      <c r="D22" s="173"/>
      <c r="E22" s="173"/>
      <c r="F22" s="173"/>
      <c r="G22" s="209"/>
      <c r="H22" s="224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20" s="168" customFormat="1" ht="18.75" x14ac:dyDescent="0.3">
      <c r="A23" s="232"/>
      <c r="B23" s="233" t="s">
        <v>157</v>
      </c>
      <c r="C23" s="209">
        <f>[5]รวมปี!$C$485</f>
        <v>30000</v>
      </c>
      <c r="D23" s="173">
        <f>[6]ทะเบียนรายรับ!$AP$451</f>
        <v>102975</v>
      </c>
      <c r="E23" s="173"/>
      <c r="F23" s="173"/>
      <c r="G23" s="209">
        <f t="shared" si="3"/>
        <v>102975</v>
      </c>
      <c r="H23" s="224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20" s="168" customFormat="1" ht="18.75" x14ac:dyDescent="0.3">
      <c r="A24" s="232"/>
      <c r="B24" s="233" t="s">
        <v>158</v>
      </c>
      <c r="C24" s="209">
        <f>[7]งบแสดงผลการดำเนินงาน!$C471</f>
        <v>0</v>
      </c>
      <c r="D24" s="173"/>
      <c r="E24" s="173"/>
      <c r="F24" s="173"/>
      <c r="G24" s="209">
        <f t="shared" si="3"/>
        <v>0</v>
      </c>
      <c r="H24" s="224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20" s="168" customFormat="1" ht="18.75" x14ac:dyDescent="0.3">
      <c r="A25" s="232"/>
      <c r="B25" s="233" t="s">
        <v>159</v>
      </c>
      <c r="C25" s="209">
        <f>[5]รวมปี!$C$487</f>
        <v>18492000</v>
      </c>
      <c r="D25" s="173">
        <f>[6]ทะเบียนรายรับ!$BA$451</f>
        <v>18777513.000000004</v>
      </c>
      <c r="E25" s="173"/>
      <c r="F25" s="173"/>
      <c r="G25" s="209">
        <f t="shared" si="3"/>
        <v>18777513.000000004</v>
      </c>
      <c r="H25" s="224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20" s="168" customFormat="1" ht="18.75" x14ac:dyDescent="0.3">
      <c r="A26" s="232"/>
      <c r="B26" s="233" t="s">
        <v>160</v>
      </c>
      <c r="C26" s="209">
        <f>[5]รวมปี!$C$488</f>
        <v>20207000</v>
      </c>
      <c r="D26" s="173">
        <f>[6]ทะเบียนรายรับ!$BS$451</f>
        <v>16071485</v>
      </c>
      <c r="E26" s="173"/>
      <c r="F26" s="173"/>
      <c r="G26" s="209">
        <f t="shared" si="3"/>
        <v>16071485</v>
      </c>
      <c r="H26" s="224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20" s="168" customFormat="1" ht="37.5" x14ac:dyDescent="0.3">
      <c r="A27" s="232"/>
      <c r="B27" s="235" t="s">
        <v>354</v>
      </c>
      <c r="C27" s="209">
        <f>[7]งบแสดงผลการดำเนินงาน!$C474</f>
        <v>0</v>
      </c>
      <c r="D27" s="173"/>
      <c r="E27" s="173">
        <v>6754877.9699999997</v>
      </c>
      <c r="F27" s="173"/>
      <c r="G27" s="209">
        <f t="shared" si="3"/>
        <v>6754877.9699999997</v>
      </c>
      <c r="H27" s="224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20" s="168" customFormat="1" ht="19.5" thickBot="1" x14ac:dyDescent="0.3">
      <c r="A28" s="210"/>
      <c r="B28" s="73" t="s">
        <v>161</v>
      </c>
      <c r="C28" s="238">
        <f>SUM(C19:C27)</f>
        <v>40613110</v>
      </c>
      <c r="D28" s="238">
        <f>SUM(D19:D27)</f>
        <v>36988757.910000004</v>
      </c>
      <c r="E28" s="238">
        <f>E27-E17</f>
        <v>0</v>
      </c>
      <c r="F28" s="238"/>
      <c r="G28" s="238">
        <f>SUM(G19:G27)</f>
        <v>43743635.880000003</v>
      </c>
      <c r="H28" s="224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20" s="168" customFormat="1" thickTop="1" thickBot="1" x14ac:dyDescent="0.3">
      <c r="B29" s="74" t="s">
        <v>162</v>
      </c>
      <c r="C29" s="239"/>
      <c r="D29" s="239"/>
      <c r="E29" s="239"/>
      <c r="F29" s="239"/>
      <c r="G29" s="362">
        <f>G28-G17</f>
        <v>-434352.38999999315</v>
      </c>
      <c r="H29" s="239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1:20" ht="21" thickTop="1" x14ac:dyDescent="0.3">
      <c r="G30" s="75"/>
      <c r="H30" s="75"/>
      <c r="Q30" s="1"/>
      <c r="R30" s="1"/>
    </row>
    <row r="31" spans="1:20" x14ac:dyDescent="0.3">
      <c r="G31" s="75"/>
      <c r="H31" s="75"/>
      <c r="Q31" s="1"/>
      <c r="R31" s="1"/>
    </row>
    <row r="32" spans="1:20" x14ac:dyDescent="0.3">
      <c r="G32" s="75"/>
      <c r="H32" s="75"/>
      <c r="Q32" s="1"/>
      <c r="R32" s="1"/>
    </row>
    <row r="33" spans="1:18" x14ac:dyDescent="0.3">
      <c r="G33" s="75"/>
      <c r="H33" s="75"/>
      <c r="Q33" s="1"/>
      <c r="R33" s="1"/>
    </row>
    <row r="34" spans="1:18" x14ac:dyDescent="0.3">
      <c r="G34" s="75"/>
      <c r="H34" s="75"/>
      <c r="Q34" s="1"/>
      <c r="R34" s="1"/>
    </row>
    <row r="35" spans="1:18" x14ac:dyDescent="0.3">
      <c r="G35" s="75"/>
      <c r="H35" s="75"/>
      <c r="Q35" s="1"/>
      <c r="R35" s="1"/>
    </row>
    <row r="36" spans="1:18" x14ac:dyDescent="0.3">
      <c r="G36" s="75"/>
      <c r="H36" s="75"/>
      <c r="Q36" s="1"/>
      <c r="R36" s="1"/>
    </row>
    <row r="37" spans="1:18" x14ac:dyDescent="0.3">
      <c r="G37" s="75"/>
      <c r="H37" s="75"/>
      <c r="Q37" s="1"/>
      <c r="R37" s="1"/>
    </row>
    <row r="38" spans="1:18" x14ac:dyDescent="0.3">
      <c r="G38" s="75"/>
      <c r="H38" s="75"/>
      <c r="Q38" s="1"/>
      <c r="R38" s="1"/>
    </row>
    <row r="39" spans="1:18" x14ac:dyDescent="0.3">
      <c r="G39" s="75"/>
      <c r="H39" s="75"/>
      <c r="Q39" s="1"/>
      <c r="R39" s="1"/>
    </row>
    <row r="40" spans="1:18" x14ac:dyDescent="0.3">
      <c r="G40" s="75"/>
      <c r="H40" s="75"/>
      <c r="Q40" s="1"/>
      <c r="R40" s="1"/>
    </row>
    <row r="41" spans="1:18" x14ac:dyDescent="0.3">
      <c r="G41" s="75"/>
      <c r="H41" s="75"/>
      <c r="Q41" s="1"/>
      <c r="R41" s="1"/>
    </row>
    <row r="42" spans="1:18" x14ac:dyDescent="0.3">
      <c r="G42" s="75"/>
      <c r="H42" s="75"/>
      <c r="Q42" s="1"/>
      <c r="R42" s="1"/>
    </row>
    <row r="43" spans="1:18" x14ac:dyDescent="0.3">
      <c r="G43" s="75"/>
      <c r="H43" s="75"/>
      <c r="Q43" s="1"/>
      <c r="R43" s="1"/>
    </row>
    <row r="44" spans="1:18" x14ac:dyDescent="0.3">
      <c r="G44" s="75"/>
      <c r="H44" s="75"/>
      <c r="Q44" s="1"/>
      <c r="R44" s="1"/>
    </row>
    <row r="45" spans="1:18" x14ac:dyDescent="0.3">
      <c r="G45" s="75"/>
      <c r="H45" s="75"/>
      <c r="Q45" s="1"/>
      <c r="R45" s="1"/>
    </row>
    <row r="46" spans="1:18" x14ac:dyDescent="0.3">
      <c r="G46" s="75"/>
      <c r="H46" s="75"/>
      <c r="Q46" s="1"/>
      <c r="R46" s="1"/>
    </row>
    <row r="47" spans="1:18" ht="23.25" x14ac:dyDescent="0.5">
      <c r="A47" s="524" t="s">
        <v>0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</row>
    <row r="48" spans="1:18" ht="23.25" x14ac:dyDescent="0.5">
      <c r="A48" s="524" t="s">
        <v>349</v>
      </c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</row>
    <row r="49" spans="1:20" ht="23.25" x14ac:dyDescent="0.5">
      <c r="A49" s="524" t="s">
        <v>479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</row>
    <row r="50" spans="1:20" s="162" customFormat="1" ht="75" x14ac:dyDescent="0.5">
      <c r="A50" s="525" t="s">
        <v>133</v>
      </c>
      <c r="B50" s="525"/>
      <c r="C50" s="161" t="s">
        <v>134</v>
      </c>
      <c r="D50" s="161" t="s">
        <v>353</v>
      </c>
      <c r="E50" s="161" t="s">
        <v>355</v>
      </c>
      <c r="F50" s="161" t="s">
        <v>481</v>
      </c>
      <c r="G50" s="161" t="s">
        <v>67</v>
      </c>
      <c r="H50" s="161" t="s">
        <v>135</v>
      </c>
      <c r="I50" s="161" t="s">
        <v>136</v>
      </c>
      <c r="J50" s="161" t="s">
        <v>137</v>
      </c>
      <c r="K50" s="161" t="s">
        <v>138</v>
      </c>
      <c r="L50" s="161" t="s">
        <v>139</v>
      </c>
      <c r="M50" s="161" t="s">
        <v>140</v>
      </c>
      <c r="N50" s="161" t="s">
        <v>141</v>
      </c>
      <c r="O50" s="161" t="s">
        <v>142</v>
      </c>
      <c r="P50" s="161" t="s">
        <v>143</v>
      </c>
      <c r="Q50" s="161" t="s">
        <v>144</v>
      </c>
      <c r="R50" s="161" t="s">
        <v>145</v>
      </c>
    </row>
    <row r="51" spans="1:20" s="168" customFormat="1" ht="18.75" x14ac:dyDescent="0.3">
      <c r="A51" s="163" t="s">
        <v>146</v>
      </c>
      <c r="B51" s="164"/>
      <c r="C51" s="165"/>
      <c r="D51" s="165"/>
      <c r="E51" s="165"/>
      <c r="F51" s="165"/>
      <c r="G51" s="165"/>
      <c r="H51" s="165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20" s="168" customFormat="1" ht="18.75" x14ac:dyDescent="0.3">
      <c r="A52" s="232"/>
      <c r="B52" s="233" t="s">
        <v>145</v>
      </c>
      <c r="C52" s="209">
        <f>[5]รวมปี!$C$468</f>
        <v>9463700</v>
      </c>
      <c r="D52" s="209">
        <v>0</v>
      </c>
      <c r="E52" s="209">
        <v>0</v>
      </c>
      <c r="F52" s="209">
        <f t="shared" ref="F52:F58" si="4">SUM(H52:R52)</f>
        <v>0</v>
      </c>
      <c r="G52" s="209">
        <f>SUM(D52:F52)</f>
        <v>0</v>
      </c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</row>
    <row r="53" spans="1:20" s="168" customFormat="1" ht="18.75" x14ac:dyDescent="0.3">
      <c r="A53" s="232"/>
      <c r="B53" s="233" t="s">
        <v>147</v>
      </c>
      <c r="C53" s="209">
        <f>[5]รวมปี!$C$469</f>
        <v>2624640</v>
      </c>
      <c r="D53" s="209">
        <v>0</v>
      </c>
      <c r="E53" s="209">
        <v>0</v>
      </c>
      <c r="F53" s="209">
        <f t="shared" si="4"/>
        <v>0</v>
      </c>
      <c r="G53" s="209">
        <f t="shared" ref="G53:G62" si="5">SUM(D53:F53)</f>
        <v>0</v>
      </c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</row>
    <row r="54" spans="1:20" s="168" customFormat="1" ht="18.75" x14ac:dyDescent="0.3">
      <c r="A54" s="232"/>
      <c r="B54" s="233" t="s">
        <v>148</v>
      </c>
      <c r="C54" s="209">
        <f>[5]รวมปี!$C$470</f>
        <v>10962770</v>
      </c>
      <c r="D54" s="209">
        <v>0</v>
      </c>
      <c r="E54" s="209">
        <v>0</v>
      </c>
      <c r="F54" s="209">
        <f t="shared" si="4"/>
        <v>0</v>
      </c>
      <c r="G54" s="209">
        <f t="shared" si="5"/>
        <v>0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</row>
    <row r="55" spans="1:20" s="168" customFormat="1" ht="18.75" x14ac:dyDescent="0.3">
      <c r="A55" s="232"/>
      <c r="B55" s="233" t="s">
        <v>109</v>
      </c>
      <c r="C55" s="209">
        <f>[5]รวมปี!$C$471</f>
        <v>1175520</v>
      </c>
      <c r="D55" s="209">
        <v>0</v>
      </c>
      <c r="E55" s="209">
        <v>0</v>
      </c>
      <c r="F55" s="209">
        <f t="shared" si="4"/>
        <v>0</v>
      </c>
      <c r="G55" s="209">
        <f t="shared" si="5"/>
        <v>0</v>
      </c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</row>
    <row r="56" spans="1:20" s="168" customFormat="1" ht="18.75" x14ac:dyDescent="0.3">
      <c r="A56" s="232"/>
      <c r="B56" s="233" t="s">
        <v>112</v>
      </c>
      <c r="C56" s="209">
        <f>[5]รวมปี!$C$472</f>
        <v>8316430</v>
      </c>
      <c r="D56" s="209">
        <v>0</v>
      </c>
      <c r="E56" s="209">
        <v>0</v>
      </c>
      <c r="F56" s="209">
        <f t="shared" si="4"/>
        <v>0</v>
      </c>
      <c r="G56" s="209">
        <f t="shared" si="5"/>
        <v>0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</row>
    <row r="57" spans="1:20" s="168" customFormat="1" ht="18.75" x14ac:dyDescent="0.3">
      <c r="A57" s="232"/>
      <c r="B57" s="233" t="s">
        <v>110</v>
      </c>
      <c r="C57" s="209">
        <f>[5]รวมปี!$C$473</f>
        <v>1869400</v>
      </c>
      <c r="D57" s="209">
        <v>0</v>
      </c>
      <c r="E57" s="209">
        <v>0</v>
      </c>
      <c r="F57" s="209">
        <f t="shared" si="4"/>
        <v>0</v>
      </c>
      <c r="G57" s="209">
        <f t="shared" si="5"/>
        <v>0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</row>
    <row r="58" spans="1:20" s="168" customFormat="1" ht="18.75" x14ac:dyDescent="0.3">
      <c r="A58" s="232"/>
      <c r="B58" s="233" t="s">
        <v>149</v>
      </c>
      <c r="C58" s="209">
        <f>[5]รวมปี!$C$474</f>
        <v>390000</v>
      </c>
      <c r="D58" s="209">
        <v>0</v>
      </c>
      <c r="E58" s="209">
        <v>0</v>
      </c>
      <c r="F58" s="209">
        <f t="shared" si="4"/>
        <v>0</v>
      </c>
      <c r="G58" s="209">
        <f t="shared" si="5"/>
        <v>0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</row>
    <row r="59" spans="1:20" s="168" customFormat="1" ht="18.75" x14ac:dyDescent="0.3">
      <c r="A59" s="232"/>
      <c r="B59" s="233" t="s">
        <v>150</v>
      </c>
      <c r="C59" s="209">
        <f>[5]รวมปี!$C$477</f>
        <v>951300</v>
      </c>
      <c r="D59" s="209">
        <v>0</v>
      </c>
      <c r="E59" s="209">
        <v>0</v>
      </c>
      <c r="F59" s="209">
        <f>SUM(H59:R59)</f>
        <v>0</v>
      </c>
      <c r="G59" s="209">
        <f t="shared" si="5"/>
        <v>0</v>
      </c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</row>
    <row r="60" spans="1:20" s="168" customFormat="1" ht="18.75" x14ac:dyDescent="0.3">
      <c r="A60" s="232"/>
      <c r="B60" s="233" t="s">
        <v>151</v>
      </c>
      <c r="C60" s="209">
        <f>[5]รวมปี!$C$478</f>
        <v>3299900</v>
      </c>
      <c r="D60" s="209">
        <v>0</v>
      </c>
      <c r="E60" s="209">
        <v>0</v>
      </c>
      <c r="F60" s="209">
        <f>SUM(H60:R60)</f>
        <v>988000</v>
      </c>
      <c r="G60" s="209">
        <f t="shared" si="5"/>
        <v>988000</v>
      </c>
      <c r="H60" s="209"/>
      <c r="I60" s="209"/>
      <c r="J60" s="209"/>
      <c r="K60" s="209"/>
      <c r="L60" s="209"/>
      <c r="M60" s="209"/>
      <c r="N60" s="209"/>
      <c r="O60" s="209"/>
      <c r="P60" s="209">
        <v>710000</v>
      </c>
      <c r="Q60" s="209">
        <v>278000</v>
      </c>
      <c r="R60" s="209"/>
    </row>
    <row r="61" spans="1:20" s="168" customFormat="1" ht="18.75" x14ac:dyDescent="0.3">
      <c r="A61" s="232"/>
      <c r="B61" s="233" t="s">
        <v>111</v>
      </c>
      <c r="C61" s="209">
        <f>[5]รวมปี!$C$476</f>
        <v>55000</v>
      </c>
      <c r="D61" s="209">
        <v>0</v>
      </c>
      <c r="E61" s="209">
        <v>0</v>
      </c>
      <c r="F61" s="209">
        <f>SUM(H61:R61)</f>
        <v>0</v>
      </c>
      <c r="G61" s="209">
        <f t="shared" si="5"/>
        <v>0</v>
      </c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</row>
    <row r="62" spans="1:20" s="168" customFormat="1" ht="18.75" x14ac:dyDescent="0.3">
      <c r="A62" s="234"/>
      <c r="B62" s="236" t="s">
        <v>117</v>
      </c>
      <c r="C62" s="209">
        <f>[5]รวมปี!$C$475</f>
        <v>1503000</v>
      </c>
      <c r="D62" s="209">
        <v>0</v>
      </c>
      <c r="E62" s="209">
        <v>0</v>
      </c>
      <c r="F62" s="209">
        <f>SUM(H62:R62)</f>
        <v>0</v>
      </c>
      <c r="G62" s="209">
        <f t="shared" si="5"/>
        <v>0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</row>
    <row r="63" spans="1:20" s="168" customFormat="1" ht="19.5" thickBot="1" x14ac:dyDescent="0.3">
      <c r="A63" s="210"/>
      <c r="B63" s="73" t="s">
        <v>67</v>
      </c>
      <c r="C63" s="69">
        <f t="shared" ref="C63:R63" si="6">SUM(C52:C62)</f>
        <v>40611660</v>
      </c>
      <c r="D63" s="69">
        <f t="shared" si="6"/>
        <v>0</v>
      </c>
      <c r="E63" s="69">
        <f t="shared" si="6"/>
        <v>0</v>
      </c>
      <c r="F63" s="69">
        <f t="shared" si="6"/>
        <v>988000</v>
      </c>
      <c r="G63" s="69">
        <f t="shared" si="6"/>
        <v>988000</v>
      </c>
      <c r="H63" s="69">
        <f t="shared" si="6"/>
        <v>0</v>
      </c>
      <c r="I63" s="69">
        <f t="shared" si="6"/>
        <v>0</v>
      </c>
      <c r="J63" s="69">
        <f t="shared" si="6"/>
        <v>0</v>
      </c>
      <c r="K63" s="69">
        <f t="shared" si="6"/>
        <v>0</v>
      </c>
      <c r="L63" s="69">
        <f t="shared" si="6"/>
        <v>0</v>
      </c>
      <c r="M63" s="69">
        <f t="shared" si="6"/>
        <v>0</v>
      </c>
      <c r="N63" s="69">
        <f t="shared" si="6"/>
        <v>0</v>
      </c>
      <c r="O63" s="69">
        <f t="shared" si="6"/>
        <v>0</v>
      </c>
      <c r="P63" s="69">
        <f t="shared" si="6"/>
        <v>710000</v>
      </c>
      <c r="Q63" s="69">
        <f t="shared" si="6"/>
        <v>278000</v>
      </c>
      <c r="R63" s="69">
        <f t="shared" si="6"/>
        <v>0</v>
      </c>
    </row>
    <row r="64" spans="1:20" s="168" customFormat="1" ht="19.5" thickTop="1" x14ac:dyDescent="0.25">
      <c r="A64" s="163" t="s">
        <v>152</v>
      </c>
      <c r="B64" s="164"/>
      <c r="C64" s="237"/>
      <c r="D64" s="237"/>
      <c r="E64" s="237"/>
      <c r="F64" s="237"/>
      <c r="G64" s="237"/>
      <c r="H64" s="358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60"/>
      <c r="T64" s="361"/>
    </row>
    <row r="65" spans="1:18" s="168" customFormat="1" ht="18.75" x14ac:dyDescent="0.3">
      <c r="A65" s="232"/>
      <c r="B65" s="233" t="s">
        <v>153</v>
      </c>
      <c r="C65" s="209">
        <f>[5]รวมปี!$C$482</f>
        <v>946000</v>
      </c>
      <c r="D65" s="209">
        <f>[6]ทะเบียนรายรับ!$H$451</f>
        <v>1150317.6000000001</v>
      </c>
      <c r="E65" s="209"/>
      <c r="F65" s="209"/>
      <c r="G65" s="209">
        <f>SUM(D65:E65)</f>
        <v>1150317.6000000001</v>
      </c>
      <c r="H65" s="224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1:18" s="168" customFormat="1" ht="18.75" x14ac:dyDescent="0.3">
      <c r="A66" s="232"/>
      <c r="B66" s="233" t="s">
        <v>154</v>
      </c>
      <c r="C66" s="209">
        <f>[5]รวมปี!$C$483</f>
        <v>538110</v>
      </c>
      <c r="D66" s="173">
        <f>[6]ทะเบียนรายรับ!$AD$451</f>
        <v>634486.80000000005</v>
      </c>
      <c r="E66" s="173"/>
      <c r="F66" s="173"/>
      <c r="G66" s="209">
        <f>SUM(D66:E66)</f>
        <v>634486.80000000005</v>
      </c>
      <c r="H66" s="224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 s="168" customFormat="1" ht="18.75" x14ac:dyDescent="0.3">
      <c r="A67" s="232"/>
      <c r="B67" s="233" t="s">
        <v>155</v>
      </c>
      <c r="C67" s="209">
        <f>[5]รวมปี!$C$484</f>
        <v>400000</v>
      </c>
      <c r="D67" s="173">
        <f>[6]ทะเบียนรายรับ!$AI$451</f>
        <v>251980.50999999998</v>
      </c>
      <c r="E67" s="173"/>
      <c r="F67" s="173"/>
      <c r="G67" s="209">
        <f>SUM(D67:E67)</f>
        <v>251980.50999999998</v>
      </c>
      <c r="H67" s="224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 s="168" customFormat="1" ht="18.75" x14ac:dyDescent="0.3">
      <c r="A68" s="232"/>
      <c r="B68" s="233" t="s">
        <v>156</v>
      </c>
      <c r="C68" s="209"/>
      <c r="D68" s="173"/>
      <c r="E68" s="173"/>
      <c r="F68" s="173"/>
      <c r="G68" s="209"/>
      <c r="H68" s="224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1:18" s="168" customFormat="1" ht="18.75" x14ac:dyDescent="0.3">
      <c r="A69" s="232"/>
      <c r="B69" s="233" t="s">
        <v>157</v>
      </c>
      <c r="C69" s="209">
        <f>[5]รวมปี!$C$485</f>
        <v>30000</v>
      </c>
      <c r="D69" s="173">
        <f>[6]ทะเบียนรายรับ!$AP$451</f>
        <v>102975</v>
      </c>
      <c r="E69" s="173"/>
      <c r="F69" s="173"/>
      <c r="G69" s="209">
        <f>SUM(D69:E69)</f>
        <v>102975</v>
      </c>
      <c r="H69" s="224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1:18" s="168" customFormat="1" ht="18.75" x14ac:dyDescent="0.3">
      <c r="A70" s="232"/>
      <c r="B70" s="233" t="s">
        <v>158</v>
      </c>
      <c r="C70" s="209">
        <f>[7]งบแสดงผลการดำเนินงาน!$C508</f>
        <v>0</v>
      </c>
      <c r="D70" s="173"/>
      <c r="E70" s="173"/>
      <c r="F70" s="173"/>
      <c r="G70" s="209">
        <f>SUM(D70:E70)</f>
        <v>0</v>
      </c>
      <c r="H70" s="224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1:18" s="168" customFormat="1" ht="18.75" x14ac:dyDescent="0.3">
      <c r="A71" s="232"/>
      <c r="B71" s="233" t="s">
        <v>159</v>
      </c>
      <c r="C71" s="209">
        <f>[5]รวมปี!$C$487</f>
        <v>18492000</v>
      </c>
      <c r="D71" s="173">
        <f>[6]ทะเบียนรายรับ!$BA$451</f>
        <v>18777513.000000004</v>
      </c>
      <c r="E71" s="173"/>
      <c r="F71" s="173"/>
      <c r="G71" s="209">
        <f>SUM(D71:E71)</f>
        <v>18777513.000000004</v>
      </c>
      <c r="H71" s="224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 s="168" customFormat="1" ht="18.75" x14ac:dyDescent="0.3">
      <c r="A72" s="232"/>
      <c r="B72" s="233" t="s">
        <v>160</v>
      </c>
      <c r="C72" s="209">
        <f>[5]รวมปี!$C$488</f>
        <v>20207000</v>
      </c>
      <c r="D72" s="173">
        <f>[6]ทะเบียนรายรับ!$BS$451</f>
        <v>16071485</v>
      </c>
      <c r="E72" s="173"/>
      <c r="F72" s="173"/>
      <c r="G72" s="209">
        <f>SUM(D72:E72)</f>
        <v>16071485</v>
      </c>
      <c r="H72" s="224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 s="168" customFormat="1" ht="37.5" x14ac:dyDescent="0.3">
      <c r="A73" s="232"/>
      <c r="B73" s="235" t="s">
        <v>354</v>
      </c>
      <c r="C73" s="209">
        <f>[7]งบแสดงผลการดำเนินงาน!$C511</f>
        <v>0</v>
      </c>
      <c r="D73" s="173"/>
      <c r="E73" s="173">
        <v>0</v>
      </c>
      <c r="F73" s="173"/>
      <c r="G73" s="209">
        <f>SUM(D73:E73)</f>
        <v>0</v>
      </c>
      <c r="H73" s="224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1:18" s="168" customFormat="1" ht="19.5" thickBot="1" x14ac:dyDescent="0.3">
      <c r="A74" s="210"/>
      <c r="B74" s="73" t="s">
        <v>161</v>
      </c>
      <c r="C74" s="238">
        <f>SUM(C65:C73)</f>
        <v>40613110</v>
      </c>
      <c r="D74" s="238">
        <f>SUM(D65:D73)</f>
        <v>36988757.910000004</v>
      </c>
      <c r="E74" s="238">
        <f>E73-E63</f>
        <v>0</v>
      </c>
      <c r="F74" s="238"/>
      <c r="G74" s="238">
        <f>SUM(G65:G73)</f>
        <v>36988757.910000004</v>
      </c>
      <c r="H74" s="224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1:18" s="168" customFormat="1" thickTop="1" thickBot="1" x14ac:dyDescent="0.3">
      <c r="B75" s="74" t="s">
        <v>162</v>
      </c>
      <c r="C75" s="239"/>
      <c r="D75" s="239"/>
      <c r="E75" s="239"/>
      <c r="F75" s="239"/>
      <c r="G75" s="240">
        <f>G74-G63</f>
        <v>36000757.910000004</v>
      </c>
      <c r="H75" s="239">
        <f>D75+E75</f>
        <v>0</v>
      </c>
      <c r="I75" s="241"/>
      <c r="J75" s="241"/>
      <c r="K75" s="241"/>
      <c r="L75" s="241"/>
      <c r="M75" s="241"/>
      <c r="N75" s="241"/>
      <c r="O75" s="241"/>
      <c r="P75" s="241"/>
      <c r="Q75" s="241"/>
      <c r="R75" s="241"/>
    </row>
    <row r="76" spans="1:18" ht="21" thickTop="1" x14ac:dyDescent="0.3">
      <c r="G76" s="75"/>
      <c r="H76" s="75"/>
      <c r="Q76" s="1"/>
      <c r="R76" s="1"/>
    </row>
    <row r="77" spans="1:18" x14ac:dyDescent="0.3">
      <c r="G77" s="75"/>
      <c r="H77" s="75"/>
      <c r="Q77" s="1"/>
      <c r="R77" s="1"/>
    </row>
    <row r="78" spans="1:18" x14ac:dyDescent="0.3">
      <c r="G78" s="75"/>
      <c r="H78" s="75"/>
      <c r="Q78" s="1"/>
      <c r="R78" s="1"/>
    </row>
    <row r="79" spans="1:18" x14ac:dyDescent="0.3">
      <c r="G79" s="75"/>
      <c r="H79" s="75"/>
      <c r="Q79" s="1"/>
      <c r="R79" s="1"/>
    </row>
    <row r="80" spans="1:18" x14ac:dyDescent="0.3">
      <c r="G80" s="75"/>
      <c r="H80" s="75"/>
      <c r="Q80" s="1"/>
      <c r="R80" s="1"/>
    </row>
    <row r="81" spans="7:18" x14ac:dyDescent="0.3">
      <c r="G81" s="75"/>
      <c r="H81" s="75"/>
      <c r="Q81" s="1"/>
      <c r="R81" s="1"/>
    </row>
    <row r="82" spans="7:18" x14ac:dyDescent="0.3">
      <c r="G82" s="75"/>
      <c r="H82" s="75"/>
      <c r="Q82" s="1"/>
      <c r="R82" s="1"/>
    </row>
    <row r="83" spans="7:18" x14ac:dyDescent="0.3">
      <c r="G83" s="75"/>
      <c r="H83" s="75"/>
      <c r="Q83" s="1"/>
      <c r="R83" s="1"/>
    </row>
    <row r="84" spans="7:18" x14ac:dyDescent="0.3">
      <c r="G84" s="75"/>
      <c r="H84" s="75"/>
      <c r="Q84" s="1"/>
      <c r="R84" s="1"/>
    </row>
    <row r="85" spans="7:18" x14ac:dyDescent="0.3">
      <c r="G85" s="75"/>
      <c r="H85" s="75"/>
      <c r="Q85" s="1"/>
      <c r="R85" s="1"/>
    </row>
    <row r="86" spans="7:18" x14ac:dyDescent="0.3">
      <c r="G86" s="75"/>
      <c r="H86" s="75"/>
      <c r="Q86" s="1"/>
      <c r="R86" s="1"/>
    </row>
    <row r="87" spans="7:18" x14ac:dyDescent="0.3">
      <c r="G87" s="75"/>
      <c r="H87" s="75"/>
      <c r="Q87" s="1"/>
      <c r="R87" s="1"/>
    </row>
    <row r="88" spans="7:18" x14ac:dyDescent="0.3">
      <c r="G88" s="75"/>
      <c r="H88" s="75"/>
      <c r="Q88" s="1"/>
      <c r="R88" s="1"/>
    </row>
    <row r="89" spans="7:18" x14ac:dyDescent="0.3">
      <c r="G89" s="75"/>
      <c r="H89" s="75"/>
      <c r="Q89" s="1"/>
      <c r="R89" s="1"/>
    </row>
    <row r="90" spans="7:18" x14ac:dyDescent="0.3">
      <c r="G90" s="75"/>
      <c r="H90" s="75"/>
      <c r="Q90" s="1"/>
      <c r="R90" s="1"/>
    </row>
  </sheetData>
  <mergeCells count="8">
    <mergeCell ref="A48:R48"/>
    <mergeCell ref="A49:R49"/>
    <mergeCell ref="A50:B50"/>
    <mergeCell ref="A1:R1"/>
    <mergeCell ref="A2:R2"/>
    <mergeCell ref="A3:R3"/>
    <mergeCell ref="A4:B4"/>
    <mergeCell ref="A47:R47"/>
  </mergeCells>
  <pageMargins left="0.2" right="0.14000000000000001" top="0.43" bottom="0.15" header="0.16" footer="0.14000000000000001"/>
  <pageSetup paperSize="9" scale="57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B76"/>
  <sheetViews>
    <sheetView topLeftCell="B14" zoomScaleNormal="100" workbookViewId="0">
      <selection activeCell="B51" sqref="B51:G51"/>
    </sheetView>
  </sheetViews>
  <sheetFormatPr defaultRowHeight="20.25" x14ac:dyDescent="0.3"/>
  <cols>
    <col min="1" max="1" width="3.85546875" style="55" customWidth="1"/>
    <col min="2" max="2" width="9.140625" style="79"/>
    <col min="3" max="6" width="9.140625" style="55"/>
    <col min="7" max="7" width="10.140625" style="77" customWidth="1"/>
    <col min="8" max="8" width="18.140625" style="77" customWidth="1"/>
    <col min="9" max="9" width="20.5703125" style="77" customWidth="1"/>
    <col min="10" max="10" width="3.85546875" style="55" customWidth="1"/>
    <col min="11" max="11" width="9.140625" style="79"/>
    <col min="12" max="15" width="9.140625" style="55"/>
    <col min="16" max="16" width="9.140625" style="77"/>
    <col min="17" max="17" width="18.140625" style="77" customWidth="1"/>
    <col min="18" max="18" width="20.5703125" style="77" customWidth="1"/>
    <col min="19" max="19" width="3.85546875" style="55" customWidth="1"/>
    <col min="20" max="20" width="3.7109375" style="79" customWidth="1"/>
    <col min="21" max="24" width="9.140625" style="55"/>
    <col min="25" max="25" width="9.140625" style="77"/>
    <col min="26" max="26" width="9.140625" style="77" customWidth="1"/>
    <col min="27" max="27" width="17.5703125" style="77" customWidth="1"/>
    <col min="28" max="28" width="17.5703125" style="55" customWidth="1"/>
    <col min="29" max="16384" width="9.140625" style="55"/>
  </cols>
  <sheetData>
    <row r="1" spans="1:27" ht="26.25" x14ac:dyDescent="0.4">
      <c r="B1" s="76" t="s">
        <v>252</v>
      </c>
      <c r="K1" s="76" t="s">
        <v>497</v>
      </c>
      <c r="T1" s="76"/>
    </row>
    <row r="2" spans="1:27" ht="12.75" customHeight="1" x14ac:dyDescent="0.4">
      <c r="B2" s="76"/>
      <c r="K2" s="76"/>
      <c r="T2" s="76"/>
    </row>
    <row r="3" spans="1:27" x14ac:dyDescent="0.3">
      <c r="A3" s="78" t="s">
        <v>150</v>
      </c>
      <c r="J3" s="78" t="s">
        <v>150</v>
      </c>
      <c r="S3" s="78"/>
    </row>
    <row r="4" spans="1:27" ht="7.5" customHeight="1" x14ac:dyDescent="0.3">
      <c r="A4" s="78"/>
      <c r="J4" s="78"/>
      <c r="S4" s="78"/>
    </row>
    <row r="5" spans="1:27" x14ac:dyDescent="0.3">
      <c r="B5" s="80" t="s">
        <v>50</v>
      </c>
      <c r="I5" s="81">
        <f>SUM(H6:H9)</f>
        <v>25500</v>
      </c>
      <c r="K5" s="80" t="s">
        <v>65</v>
      </c>
      <c r="R5" s="81">
        <f>SUM(Q6:Q9)</f>
        <v>96000</v>
      </c>
      <c r="T5" s="80"/>
      <c r="AA5" s="84"/>
    </row>
    <row r="6" spans="1:27" x14ac:dyDescent="0.3">
      <c r="B6" s="79" t="s">
        <v>350</v>
      </c>
      <c r="H6" s="77">
        <v>11000</v>
      </c>
      <c r="K6" s="79" t="s">
        <v>498</v>
      </c>
      <c r="Q6" s="77">
        <v>96000</v>
      </c>
    </row>
    <row r="7" spans="1:27" x14ac:dyDescent="0.3">
      <c r="B7" s="79" t="s">
        <v>482</v>
      </c>
      <c r="H7" s="77">
        <v>3500</v>
      </c>
      <c r="K7" s="363" t="s">
        <v>499</v>
      </c>
      <c r="L7" s="350"/>
      <c r="M7" s="350"/>
      <c r="N7" s="350"/>
      <c r="O7" s="350"/>
      <c r="P7" s="349"/>
      <c r="Q7" s="349"/>
      <c r="R7" s="349"/>
    </row>
    <row r="8" spans="1:27" x14ac:dyDescent="0.3">
      <c r="B8" s="79" t="s">
        <v>491</v>
      </c>
      <c r="H8" s="77">
        <v>11000</v>
      </c>
      <c r="K8" s="363"/>
      <c r="L8" s="350"/>
      <c r="M8" s="350"/>
      <c r="N8" s="350"/>
      <c r="O8" s="350"/>
      <c r="P8" s="349"/>
      <c r="Q8" s="349"/>
      <c r="R8" s="349"/>
    </row>
    <row r="9" spans="1:27" ht="11.25" customHeight="1" x14ac:dyDescent="0.3">
      <c r="K9" s="363"/>
      <c r="L9" s="350"/>
      <c r="M9" s="350"/>
      <c r="N9" s="350"/>
      <c r="O9" s="350"/>
      <c r="P9" s="349"/>
      <c r="Q9" s="349"/>
      <c r="R9" s="349"/>
    </row>
    <row r="10" spans="1:27" ht="21" thickBot="1" x14ac:dyDescent="0.35">
      <c r="B10" s="80" t="s">
        <v>52</v>
      </c>
      <c r="I10" s="81">
        <f>SUM(H11)</f>
        <v>587000</v>
      </c>
      <c r="K10" s="364"/>
      <c r="L10" s="534" t="s">
        <v>527</v>
      </c>
      <c r="M10" s="534"/>
      <c r="N10" s="534"/>
      <c r="O10" s="534"/>
      <c r="P10" s="352"/>
      <c r="R10" s="82">
        <f>SUM(R5:R9)</f>
        <v>96000</v>
      </c>
    </row>
    <row r="11" spans="1:27" ht="21" thickTop="1" x14ac:dyDescent="0.3">
      <c r="B11" s="79" t="s">
        <v>483</v>
      </c>
      <c r="H11" s="77">
        <v>587000</v>
      </c>
      <c r="K11" s="363"/>
      <c r="L11" s="350"/>
      <c r="M11" s="350"/>
      <c r="N11" s="350"/>
      <c r="O11" s="350"/>
      <c r="P11" s="349"/>
      <c r="Q11" s="349"/>
      <c r="R11" s="349"/>
    </row>
    <row r="12" spans="1:27" ht="9.75" customHeight="1" x14ac:dyDescent="0.3">
      <c r="K12" s="363"/>
      <c r="L12" s="350"/>
      <c r="M12" s="350"/>
      <c r="N12" s="350"/>
      <c r="O12" s="350"/>
      <c r="P12" s="349"/>
      <c r="Q12" s="349"/>
      <c r="R12" s="349"/>
    </row>
    <row r="13" spans="1:27" x14ac:dyDescent="0.3">
      <c r="B13" s="80" t="s">
        <v>52</v>
      </c>
      <c r="I13" s="81">
        <f>SUM(H14)</f>
        <v>16700</v>
      </c>
      <c r="K13" s="364"/>
      <c r="L13" s="350"/>
      <c r="M13" s="350"/>
      <c r="N13" s="350"/>
      <c r="O13" s="350"/>
      <c r="P13" s="349"/>
      <c r="Q13" s="349"/>
      <c r="R13" s="349"/>
    </row>
    <row r="14" spans="1:27" x14ac:dyDescent="0.3">
      <c r="B14" s="79" t="s">
        <v>484</v>
      </c>
      <c r="H14" s="77">
        <v>16700</v>
      </c>
      <c r="K14" s="363"/>
      <c r="L14" s="350"/>
      <c r="M14" s="350"/>
      <c r="N14" s="350"/>
      <c r="O14" s="350"/>
      <c r="P14" s="349"/>
      <c r="Q14" s="349"/>
      <c r="R14" s="349"/>
    </row>
    <row r="15" spans="1:27" ht="11.25" customHeight="1" x14ac:dyDescent="0.3">
      <c r="K15" s="363"/>
      <c r="L15" s="350"/>
      <c r="M15" s="350"/>
      <c r="N15" s="350"/>
      <c r="O15" s="350"/>
      <c r="P15" s="349"/>
      <c r="Q15" s="349"/>
      <c r="R15" s="349"/>
    </row>
    <row r="16" spans="1:27" x14ac:dyDescent="0.3">
      <c r="B16" s="80" t="s">
        <v>65</v>
      </c>
      <c r="I16" s="81">
        <f>SUM(H17:H23)</f>
        <v>120180</v>
      </c>
      <c r="K16" s="364"/>
      <c r="L16" s="350"/>
      <c r="M16" s="350"/>
      <c r="N16" s="350"/>
      <c r="O16" s="350"/>
      <c r="P16" s="349"/>
      <c r="Q16" s="349"/>
      <c r="R16" s="84"/>
      <c r="T16" s="80"/>
      <c r="AA16" s="81"/>
    </row>
    <row r="17" spans="2:27" x14ac:dyDescent="0.3">
      <c r="B17" s="79" t="s">
        <v>485</v>
      </c>
      <c r="H17" s="77">
        <v>21980</v>
      </c>
      <c r="K17" s="363"/>
      <c r="L17" s="350"/>
      <c r="M17" s="350"/>
      <c r="N17" s="350"/>
      <c r="O17" s="350"/>
      <c r="P17" s="349"/>
      <c r="Q17" s="349"/>
      <c r="R17" s="349"/>
    </row>
    <row r="18" spans="2:27" x14ac:dyDescent="0.3">
      <c r="B18" s="79" t="s">
        <v>486</v>
      </c>
      <c r="H18" s="77">
        <f>15990+15990+15990</f>
        <v>47970</v>
      </c>
      <c r="K18" s="363"/>
      <c r="L18" s="350"/>
      <c r="M18" s="350"/>
      <c r="N18" s="350"/>
      <c r="O18" s="350"/>
      <c r="P18" s="349"/>
      <c r="Q18" s="349"/>
      <c r="R18" s="349"/>
    </row>
    <row r="19" spans="2:27" x14ac:dyDescent="0.3">
      <c r="B19" s="79" t="s">
        <v>487</v>
      </c>
      <c r="H19" s="77">
        <f>7690+7690</f>
        <v>15380</v>
      </c>
      <c r="K19" s="363"/>
      <c r="L19" s="350"/>
      <c r="M19" s="350"/>
      <c r="N19" s="350"/>
      <c r="O19" s="350"/>
      <c r="P19" s="349"/>
      <c r="Q19" s="349"/>
      <c r="R19" s="349"/>
    </row>
    <row r="20" spans="2:27" x14ac:dyDescent="0.3">
      <c r="B20" s="79" t="s">
        <v>488</v>
      </c>
      <c r="H20" s="77">
        <v>4290</v>
      </c>
      <c r="K20" s="363"/>
      <c r="L20" s="350"/>
      <c r="M20" s="350"/>
      <c r="N20" s="350"/>
      <c r="O20" s="350"/>
      <c r="P20" s="349"/>
      <c r="Q20" s="349"/>
      <c r="R20" s="349"/>
    </row>
    <row r="21" spans="2:27" x14ac:dyDescent="0.3">
      <c r="B21" s="79" t="s">
        <v>489</v>
      </c>
      <c r="H21" s="77">
        <v>5580</v>
      </c>
      <c r="I21" s="81"/>
      <c r="K21" s="363"/>
      <c r="L21" s="350"/>
      <c r="M21" s="350"/>
      <c r="N21" s="350"/>
      <c r="O21" s="350"/>
      <c r="P21" s="349"/>
      <c r="Q21" s="349"/>
      <c r="R21" s="84"/>
      <c r="T21" s="80"/>
      <c r="AA21" s="84"/>
    </row>
    <row r="22" spans="2:27" x14ac:dyDescent="0.3">
      <c r="B22" s="79" t="s">
        <v>492</v>
      </c>
      <c r="H22" s="77">
        <v>20990</v>
      </c>
      <c r="I22" s="81"/>
      <c r="K22" s="363"/>
      <c r="L22" s="350"/>
      <c r="M22" s="350"/>
      <c r="N22" s="350"/>
      <c r="O22" s="350"/>
      <c r="P22" s="349"/>
      <c r="Q22" s="349"/>
      <c r="R22" s="84"/>
      <c r="T22" s="80"/>
      <c r="AA22" s="84"/>
    </row>
    <row r="23" spans="2:27" x14ac:dyDescent="0.3">
      <c r="B23" s="79" t="s">
        <v>496</v>
      </c>
      <c r="H23" s="77">
        <v>3990</v>
      </c>
      <c r="I23" s="81"/>
      <c r="K23" s="363"/>
      <c r="L23" s="350"/>
      <c r="M23" s="350"/>
      <c r="N23" s="350"/>
      <c r="O23" s="350"/>
      <c r="P23" s="349"/>
      <c r="Q23" s="349"/>
      <c r="R23" s="84"/>
      <c r="T23" s="80"/>
      <c r="AA23" s="84"/>
    </row>
    <row r="24" spans="2:27" ht="9" customHeight="1" x14ac:dyDescent="0.3">
      <c r="K24" s="363"/>
      <c r="L24" s="350"/>
      <c r="M24" s="350"/>
      <c r="N24" s="350"/>
      <c r="O24" s="350"/>
      <c r="P24" s="349"/>
      <c r="Q24" s="349"/>
      <c r="R24" s="349"/>
    </row>
    <row r="25" spans="2:27" x14ac:dyDescent="0.3">
      <c r="B25" s="80" t="s">
        <v>55</v>
      </c>
      <c r="I25" s="81">
        <f>SUM(H26)</f>
        <v>14000</v>
      </c>
      <c r="K25" s="364"/>
      <c r="L25" s="350"/>
      <c r="M25" s="350"/>
      <c r="N25" s="350"/>
      <c r="O25" s="350"/>
      <c r="P25" s="349"/>
      <c r="Q25" s="349"/>
      <c r="R25" s="349"/>
    </row>
    <row r="26" spans="2:27" x14ac:dyDescent="0.3">
      <c r="B26" s="79" t="s">
        <v>493</v>
      </c>
      <c r="H26" s="77">
        <v>14000</v>
      </c>
      <c r="K26" s="363"/>
      <c r="L26" s="350"/>
      <c r="M26" s="350"/>
      <c r="N26" s="350"/>
      <c r="O26" s="350"/>
      <c r="P26" s="349"/>
      <c r="Q26" s="349"/>
      <c r="R26" s="349"/>
    </row>
    <row r="27" spans="2:27" ht="9" customHeight="1" x14ac:dyDescent="0.3">
      <c r="K27" s="363"/>
      <c r="L27" s="350"/>
      <c r="M27" s="350"/>
      <c r="N27" s="350"/>
      <c r="O27" s="350"/>
      <c r="P27" s="349"/>
      <c r="Q27" s="349"/>
      <c r="R27" s="349"/>
    </row>
    <row r="28" spans="2:27" x14ac:dyDescent="0.3">
      <c r="B28" s="80" t="s">
        <v>53</v>
      </c>
      <c r="I28" s="81">
        <f>SUM(H29)</f>
        <v>53000</v>
      </c>
      <c r="K28" s="364"/>
      <c r="L28" s="350"/>
      <c r="M28" s="350"/>
      <c r="N28" s="350"/>
      <c r="O28" s="350"/>
      <c r="P28" s="349"/>
      <c r="Q28" s="349"/>
      <c r="R28" s="349"/>
    </row>
    <row r="29" spans="2:27" x14ac:dyDescent="0.3">
      <c r="B29" s="79" t="s">
        <v>494</v>
      </c>
      <c r="H29" s="77">
        <v>53000</v>
      </c>
      <c r="K29" s="363"/>
      <c r="L29" s="350"/>
      <c r="M29" s="350"/>
      <c r="N29" s="350"/>
      <c r="O29" s="350"/>
      <c r="P29" s="349"/>
      <c r="Q29" s="349"/>
      <c r="R29" s="349"/>
    </row>
    <row r="30" spans="2:27" ht="9.75" customHeight="1" x14ac:dyDescent="0.3">
      <c r="K30" s="363"/>
      <c r="L30" s="350"/>
      <c r="M30" s="350"/>
      <c r="N30" s="350"/>
      <c r="O30" s="350"/>
      <c r="P30" s="349"/>
      <c r="Q30" s="349"/>
      <c r="R30" s="349"/>
    </row>
    <row r="31" spans="2:27" x14ac:dyDescent="0.3">
      <c r="B31" s="80" t="s">
        <v>54</v>
      </c>
      <c r="I31" s="81">
        <f>SUM(H32)</f>
        <v>7000</v>
      </c>
      <c r="K31" s="364"/>
      <c r="L31" s="350"/>
      <c r="M31" s="350"/>
      <c r="N31" s="350"/>
      <c r="O31" s="350"/>
      <c r="P31" s="349"/>
      <c r="Q31" s="349"/>
      <c r="R31" s="349"/>
    </row>
    <row r="32" spans="2:27" x14ac:dyDescent="0.3">
      <c r="B32" s="79" t="s">
        <v>495</v>
      </c>
      <c r="H32" s="77">
        <v>7000</v>
      </c>
      <c r="K32" s="363"/>
      <c r="L32" s="350"/>
      <c r="M32" s="350"/>
      <c r="N32" s="350"/>
      <c r="O32" s="350"/>
      <c r="P32" s="349"/>
      <c r="Q32" s="349"/>
      <c r="R32" s="349"/>
    </row>
    <row r="33" spans="1:28" ht="10.5" customHeight="1" x14ac:dyDescent="0.3">
      <c r="K33" s="363"/>
      <c r="L33" s="350"/>
      <c r="M33" s="350"/>
      <c r="N33" s="350"/>
      <c r="O33" s="350"/>
      <c r="P33" s="349"/>
      <c r="Q33" s="349"/>
      <c r="R33" s="349"/>
    </row>
    <row r="34" spans="1:28" x14ac:dyDescent="0.3">
      <c r="B34" s="80" t="s">
        <v>66</v>
      </c>
      <c r="C34" s="78"/>
      <c r="D34" s="78"/>
      <c r="E34" s="78"/>
      <c r="F34" s="78"/>
      <c r="G34" s="81"/>
      <c r="H34" s="81"/>
      <c r="I34" s="81">
        <f>SUM(H35:H36)</f>
        <v>48724</v>
      </c>
      <c r="K34" s="364"/>
      <c r="L34" s="365"/>
      <c r="M34" s="365"/>
      <c r="N34" s="365"/>
      <c r="O34" s="365"/>
      <c r="P34" s="84"/>
      <c r="Q34" s="84"/>
      <c r="R34" s="84"/>
      <c r="T34" s="80"/>
      <c r="U34" s="78"/>
      <c r="V34" s="78"/>
      <c r="W34" s="78"/>
      <c r="X34" s="78"/>
      <c r="Y34" s="81"/>
      <c r="Z34" s="81"/>
      <c r="AA34" s="81"/>
    </row>
    <row r="35" spans="1:28" x14ac:dyDescent="0.3">
      <c r="B35" s="79" t="s">
        <v>490</v>
      </c>
      <c r="H35" s="77">
        <v>48724</v>
      </c>
      <c r="K35" s="363"/>
      <c r="L35" s="350"/>
      <c r="M35" s="350"/>
      <c r="N35" s="350"/>
      <c r="O35" s="350"/>
      <c r="P35" s="349"/>
      <c r="Q35" s="349"/>
      <c r="R35" s="349"/>
    </row>
    <row r="36" spans="1:28" ht="9.75" customHeight="1" x14ac:dyDescent="0.3">
      <c r="K36" s="363"/>
      <c r="L36" s="350"/>
      <c r="M36" s="350"/>
      <c r="N36" s="350"/>
      <c r="O36" s="350"/>
      <c r="P36" s="349"/>
      <c r="Q36" s="349"/>
      <c r="R36" s="349"/>
    </row>
    <row r="37" spans="1:28" ht="21" customHeight="1" thickBot="1" x14ac:dyDescent="0.35">
      <c r="C37" s="534" t="s">
        <v>527</v>
      </c>
      <c r="D37" s="534"/>
      <c r="E37" s="534"/>
      <c r="F37" s="534"/>
      <c r="I37" s="82">
        <f>SUM(I5:I36)</f>
        <v>872104</v>
      </c>
      <c r="K37" s="363"/>
      <c r="L37" s="350"/>
      <c r="M37" s="350"/>
      <c r="N37" s="350"/>
      <c r="O37" s="350"/>
      <c r="P37" s="349"/>
      <c r="Q37" s="349"/>
      <c r="R37" s="84"/>
      <c r="AA37" s="84"/>
    </row>
    <row r="38" spans="1:28" ht="21" thickTop="1" x14ac:dyDescent="0.3">
      <c r="B38" s="80"/>
      <c r="I38" s="81"/>
      <c r="K38" s="80"/>
      <c r="R38" s="81"/>
      <c r="T38" s="80"/>
      <c r="AA38" s="81"/>
    </row>
    <row r="41" spans="1:28" x14ac:dyDescent="0.3">
      <c r="B41" s="80"/>
      <c r="C41" s="78"/>
      <c r="D41" s="78"/>
      <c r="E41" s="78"/>
      <c r="F41" s="78"/>
      <c r="G41" s="81"/>
      <c r="H41" s="81"/>
      <c r="I41" s="81"/>
      <c r="K41" s="80"/>
      <c r="L41" s="78"/>
      <c r="M41" s="78"/>
      <c r="N41" s="78"/>
      <c r="O41" s="78"/>
      <c r="P41" s="81"/>
      <c r="Q41" s="81"/>
      <c r="R41" s="81"/>
      <c r="T41" s="80"/>
      <c r="U41" s="78"/>
      <c r="V41" s="78"/>
      <c r="W41" s="78"/>
      <c r="X41" s="78"/>
      <c r="Y41" s="81"/>
      <c r="Z41" s="81"/>
      <c r="AA41" s="81"/>
    </row>
    <row r="43" spans="1:28" x14ac:dyDescent="0.3">
      <c r="B43" s="80"/>
      <c r="C43" s="78"/>
      <c r="D43" s="78"/>
      <c r="E43" s="78"/>
      <c r="F43" s="78"/>
      <c r="G43" s="81"/>
      <c r="H43" s="81"/>
      <c r="I43" s="81"/>
      <c r="K43" s="80"/>
      <c r="L43" s="78"/>
      <c r="M43" s="78"/>
      <c r="N43" s="78"/>
      <c r="O43" s="78"/>
      <c r="P43" s="81"/>
      <c r="Q43" s="81"/>
      <c r="R43" s="81"/>
      <c r="T43" s="80"/>
      <c r="U43" s="78"/>
      <c r="V43" s="78"/>
      <c r="W43" s="78"/>
      <c r="X43" s="78"/>
      <c r="Y43" s="81"/>
      <c r="Z43" s="81"/>
      <c r="AA43" s="81"/>
    </row>
    <row r="44" spans="1:28" x14ac:dyDescent="0.3">
      <c r="A44" s="78" t="s">
        <v>151</v>
      </c>
      <c r="J44" s="78" t="s">
        <v>151</v>
      </c>
      <c r="S44" s="78"/>
      <c r="T44" s="78" t="s">
        <v>151</v>
      </c>
      <c r="U44" s="79"/>
      <c r="Y44" s="55"/>
      <c r="AB44" s="77"/>
    </row>
    <row r="45" spans="1:28" ht="7.5" customHeight="1" x14ac:dyDescent="0.3">
      <c r="A45" s="78"/>
      <c r="J45" s="78"/>
      <c r="S45" s="78"/>
      <c r="T45" s="78"/>
      <c r="U45" s="79"/>
      <c r="Y45" s="55"/>
      <c r="AB45" s="77"/>
    </row>
    <row r="46" spans="1:28" ht="20.25" customHeight="1" x14ac:dyDescent="0.3">
      <c r="A46" s="78"/>
      <c r="B46" s="80" t="s">
        <v>500</v>
      </c>
      <c r="I46" s="81">
        <f>SUM(H47:H48)</f>
        <v>269800</v>
      </c>
      <c r="J46" s="78"/>
      <c r="K46" s="230" t="s">
        <v>114</v>
      </c>
      <c r="R46" s="81">
        <f>SUM(Q47:Q50)</f>
        <v>4330000</v>
      </c>
      <c r="S46" s="78"/>
      <c r="T46" s="78"/>
      <c r="U46" s="230" t="s">
        <v>114</v>
      </c>
      <c r="Y46" s="55"/>
      <c r="AB46" s="81">
        <f>SUM(AA47:AA50)</f>
        <v>2985000</v>
      </c>
    </row>
    <row r="47" spans="1:28" ht="20.25" customHeight="1" x14ac:dyDescent="0.3">
      <c r="A47" s="78"/>
      <c r="B47" s="532" t="s">
        <v>501</v>
      </c>
      <c r="C47" s="532"/>
      <c r="D47" s="532"/>
      <c r="E47" s="532"/>
      <c r="F47" s="532"/>
      <c r="G47" s="532"/>
      <c r="H47" s="77">
        <v>104500</v>
      </c>
      <c r="I47" s="81"/>
      <c r="J47" s="78"/>
      <c r="K47" s="532" t="s">
        <v>520</v>
      </c>
      <c r="L47" s="532"/>
      <c r="M47" s="532"/>
      <c r="N47" s="532"/>
      <c r="O47" s="532"/>
      <c r="P47" s="532"/>
      <c r="Q47" s="77">
        <v>1570000</v>
      </c>
      <c r="R47" s="81"/>
      <c r="S47" s="78"/>
      <c r="T47" s="78"/>
      <c r="U47" s="532" t="s">
        <v>528</v>
      </c>
      <c r="V47" s="532"/>
      <c r="W47" s="532"/>
      <c r="X47" s="532"/>
      <c r="Y47" s="532"/>
      <c r="Z47" s="532"/>
      <c r="AA47" s="77">
        <v>278000</v>
      </c>
      <c r="AB47" s="81"/>
    </row>
    <row r="48" spans="1:28" ht="20.25" customHeight="1" x14ac:dyDescent="0.3">
      <c r="A48" s="78"/>
      <c r="B48" s="532" t="s">
        <v>502</v>
      </c>
      <c r="C48" s="532"/>
      <c r="D48" s="532"/>
      <c r="E48" s="532"/>
      <c r="F48" s="532"/>
      <c r="G48" s="532"/>
      <c r="H48" s="77">
        <v>165300</v>
      </c>
      <c r="I48" s="81"/>
      <c r="J48" s="78"/>
      <c r="K48" s="532" t="s">
        <v>521</v>
      </c>
      <c r="L48" s="532"/>
      <c r="M48" s="532"/>
      <c r="N48" s="532"/>
      <c r="O48" s="532"/>
      <c r="P48" s="532"/>
      <c r="R48" s="81"/>
      <c r="S48" s="78"/>
      <c r="T48" s="78"/>
      <c r="U48" s="532" t="s">
        <v>529</v>
      </c>
      <c r="V48" s="532"/>
      <c r="W48" s="532"/>
      <c r="X48" s="532"/>
      <c r="Y48" s="532"/>
      <c r="Z48" s="532"/>
      <c r="AA48" s="77">
        <v>710000</v>
      </c>
      <c r="AB48" s="81"/>
    </row>
    <row r="49" spans="1:28" ht="20.25" customHeight="1" x14ac:dyDescent="0.3">
      <c r="A49" s="78"/>
      <c r="B49" s="352"/>
      <c r="C49" s="352"/>
      <c r="D49" s="352"/>
      <c r="E49" s="352"/>
      <c r="F49" s="352"/>
      <c r="G49" s="352"/>
      <c r="I49" s="81"/>
      <c r="J49" s="78"/>
      <c r="K49" s="532" t="s">
        <v>520</v>
      </c>
      <c r="L49" s="532"/>
      <c r="M49" s="532"/>
      <c r="N49" s="532"/>
      <c r="O49" s="532"/>
      <c r="P49" s="532"/>
      <c r="Q49" s="77">
        <v>2760000</v>
      </c>
      <c r="R49" s="81"/>
      <c r="S49" s="78"/>
      <c r="T49" s="78"/>
      <c r="U49" s="532" t="s">
        <v>530</v>
      </c>
      <c r="V49" s="532"/>
      <c r="W49" s="532"/>
      <c r="X49" s="532"/>
      <c r="Y49" s="532"/>
      <c r="Z49" s="532"/>
      <c r="AA49" s="77">
        <v>1997000</v>
      </c>
      <c r="AB49" s="81"/>
    </row>
    <row r="50" spans="1:28" ht="20.25" customHeight="1" x14ac:dyDescent="0.3">
      <c r="A50" s="78"/>
      <c r="B50" s="230" t="s">
        <v>114</v>
      </c>
      <c r="I50" s="81">
        <f>SUM(H51:H69)</f>
        <v>2391400</v>
      </c>
      <c r="J50" s="78"/>
      <c r="K50" s="532" t="s">
        <v>522</v>
      </c>
      <c r="L50" s="532"/>
      <c r="M50" s="532"/>
      <c r="N50" s="532"/>
      <c r="O50" s="532"/>
      <c r="P50" s="532"/>
      <c r="R50" s="81"/>
      <c r="S50" s="78"/>
      <c r="T50" s="78"/>
      <c r="U50" s="532"/>
      <c r="V50" s="532"/>
      <c r="W50" s="532"/>
      <c r="X50" s="532"/>
      <c r="Y50" s="532"/>
      <c r="Z50" s="532"/>
      <c r="AB50" s="81"/>
    </row>
    <row r="51" spans="1:28" ht="20.25" customHeight="1" x14ac:dyDescent="0.3">
      <c r="A51" s="78"/>
      <c r="B51" s="532" t="s">
        <v>352</v>
      </c>
      <c r="C51" s="532"/>
      <c r="D51" s="532"/>
      <c r="E51" s="532"/>
      <c r="F51" s="532"/>
      <c r="G51" s="532"/>
      <c r="H51" s="77">
        <v>69900</v>
      </c>
      <c r="I51" s="81"/>
      <c r="J51" s="78"/>
      <c r="K51" s="532"/>
      <c r="L51" s="532"/>
      <c r="M51" s="532"/>
      <c r="N51" s="532"/>
      <c r="O51" s="532"/>
      <c r="P51" s="532"/>
      <c r="R51" s="81"/>
      <c r="S51" s="78"/>
      <c r="T51" s="346"/>
      <c r="U51" s="346"/>
      <c r="V51" s="346"/>
      <c r="W51" s="346"/>
      <c r="X51" s="346"/>
      <c r="Y51" s="346"/>
      <c r="AA51" s="81"/>
    </row>
    <row r="52" spans="1:28" ht="20.25" customHeight="1" x14ac:dyDescent="0.3">
      <c r="A52" s="78"/>
      <c r="B52" s="532" t="s">
        <v>535</v>
      </c>
      <c r="C52" s="532"/>
      <c r="D52" s="532"/>
      <c r="E52" s="532"/>
      <c r="F52" s="532"/>
      <c r="G52" s="532"/>
      <c r="H52" s="77">
        <v>94000</v>
      </c>
      <c r="I52" s="81"/>
      <c r="J52" s="78"/>
      <c r="K52" s="535" t="s">
        <v>523</v>
      </c>
      <c r="L52" s="535"/>
      <c r="M52" s="535"/>
      <c r="N52" s="535"/>
      <c r="O52" s="535"/>
      <c r="P52" s="535"/>
      <c r="R52" s="81">
        <f>SUM(Q54:Q55)</f>
        <v>2205724.9700000002</v>
      </c>
      <c r="S52" s="78"/>
      <c r="T52" s="346"/>
      <c r="U52" s="346"/>
      <c r="V52" s="346"/>
      <c r="W52" s="346"/>
      <c r="X52" s="346"/>
      <c r="Y52" s="346"/>
      <c r="AA52" s="81"/>
    </row>
    <row r="53" spans="1:28" ht="20.25" customHeight="1" x14ac:dyDescent="0.3">
      <c r="A53" s="78"/>
      <c r="B53" s="532" t="s">
        <v>503</v>
      </c>
      <c r="C53" s="532"/>
      <c r="D53" s="532"/>
      <c r="E53" s="532"/>
      <c r="F53" s="532"/>
      <c r="G53" s="532"/>
      <c r="H53" s="77">
        <v>107000</v>
      </c>
      <c r="I53" s="81"/>
      <c r="J53" s="78"/>
      <c r="K53" s="535" t="s">
        <v>524</v>
      </c>
      <c r="L53" s="535"/>
      <c r="M53" s="535"/>
      <c r="N53" s="535"/>
      <c r="O53" s="535"/>
      <c r="P53" s="535"/>
      <c r="R53" s="81"/>
      <c r="S53" s="78"/>
      <c r="T53" s="346"/>
      <c r="U53" s="346"/>
      <c r="V53" s="346"/>
      <c r="W53" s="346"/>
      <c r="X53" s="346"/>
      <c r="Y53" s="346"/>
      <c r="AA53" s="81"/>
    </row>
    <row r="54" spans="1:28" ht="20.25" customHeight="1" x14ac:dyDescent="0.3">
      <c r="A54" s="78"/>
      <c r="B54" s="532" t="s">
        <v>504</v>
      </c>
      <c r="C54" s="532"/>
      <c r="D54" s="532"/>
      <c r="E54" s="532"/>
      <c r="F54" s="532"/>
      <c r="G54" s="532"/>
      <c r="H54" s="77">
        <v>84000</v>
      </c>
      <c r="I54" s="81"/>
      <c r="J54" s="78"/>
      <c r="K54" s="532" t="s">
        <v>525</v>
      </c>
      <c r="L54" s="532"/>
      <c r="M54" s="532"/>
      <c r="N54" s="532"/>
      <c r="O54" s="532"/>
      <c r="P54" s="532"/>
      <c r="Q54" s="77">
        <v>2205724.9700000002</v>
      </c>
      <c r="R54" s="81"/>
      <c r="S54" s="78"/>
      <c r="T54" s="346"/>
      <c r="U54" s="346"/>
      <c r="V54" s="346"/>
      <c r="W54" s="346"/>
      <c r="X54" s="346"/>
      <c r="Y54" s="346"/>
      <c r="AA54" s="81"/>
    </row>
    <row r="55" spans="1:28" ht="20.25" customHeight="1" x14ac:dyDescent="0.3">
      <c r="A55" s="78"/>
      <c r="B55" s="532" t="s">
        <v>512</v>
      </c>
      <c r="C55" s="532"/>
      <c r="D55" s="532"/>
      <c r="E55" s="532"/>
      <c r="F55" s="532"/>
      <c r="G55" s="532"/>
      <c r="H55" s="77">
        <v>84000</v>
      </c>
      <c r="I55" s="81"/>
      <c r="J55" s="78"/>
      <c r="K55" s="532" t="s">
        <v>526</v>
      </c>
      <c r="L55" s="532"/>
      <c r="M55" s="532"/>
      <c r="N55" s="532"/>
      <c r="O55" s="532"/>
      <c r="P55" s="532"/>
      <c r="R55" s="81"/>
      <c r="S55" s="78"/>
      <c r="T55" s="346"/>
      <c r="U55" s="346"/>
      <c r="V55" s="346"/>
      <c r="W55" s="346"/>
      <c r="X55" s="346"/>
      <c r="Y55" s="346"/>
      <c r="AA55" s="81"/>
    </row>
    <row r="56" spans="1:28" ht="20.25" customHeight="1" x14ac:dyDescent="0.3">
      <c r="A56" s="78"/>
      <c r="B56" s="532" t="s">
        <v>505</v>
      </c>
      <c r="C56" s="532"/>
      <c r="D56" s="532"/>
      <c r="E56" s="532"/>
      <c r="F56" s="532"/>
      <c r="G56" s="532"/>
      <c r="H56" s="77">
        <v>126500</v>
      </c>
      <c r="I56" s="81"/>
      <c r="J56" s="78"/>
      <c r="K56" s="352"/>
      <c r="L56" s="352"/>
      <c r="M56" s="352"/>
      <c r="N56" s="352"/>
      <c r="O56" s="352"/>
      <c r="P56" s="352"/>
      <c r="R56" s="81"/>
      <c r="S56" s="78"/>
      <c r="T56" s="346"/>
      <c r="U56" s="346"/>
      <c r="V56" s="346"/>
      <c r="W56" s="346"/>
      <c r="X56" s="346"/>
      <c r="Y56" s="346"/>
      <c r="AA56" s="81"/>
    </row>
    <row r="57" spans="1:28" ht="20.25" customHeight="1" thickBot="1" x14ac:dyDescent="0.35">
      <c r="A57" s="78"/>
      <c r="B57" s="532" t="s">
        <v>506</v>
      </c>
      <c r="C57" s="532"/>
      <c r="D57" s="532"/>
      <c r="E57" s="532"/>
      <c r="F57" s="532"/>
      <c r="G57" s="532"/>
      <c r="H57" s="77">
        <v>32000</v>
      </c>
      <c r="I57" s="81"/>
      <c r="J57" s="78"/>
      <c r="K57" s="352"/>
      <c r="L57" s="534" t="s">
        <v>527</v>
      </c>
      <c r="M57" s="534"/>
      <c r="N57" s="534"/>
      <c r="O57" s="534"/>
      <c r="P57" s="352"/>
      <c r="R57" s="82">
        <f>SUM(R46:R56)</f>
        <v>6535724.9700000007</v>
      </c>
      <c r="S57" s="78"/>
      <c r="T57" s="346"/>
      <c r="U57" s="346"/>
      <c r="V57" s="346"/>
      <c r="W57" s="346"/>
      <c r="X57" s="346"/>
      <c r="Y57" s="346"/>
      <c r="AA57" s="81"/>
    </row>
    <row r="58" spans="1:28" ht="20.25" customHeight="1" thickTop="1" x14ac:dyDescent="0.3">
      <c r="A58" s="78"/>
      <c r="B58" s="532" t="s">
        <v>507</v>
      </c>
      <c r="C58" s="532"/>
      <c r="D58" s="532"/>
      <c r="E58" s="532"/>
      <c r="F58" s="532"/>
      <c r="G58" s="532"/>
      <c r="H58" s="77">
        <v>298500</v>
      </c>
      <c r="I58" s="81"/>
      <c r="J58" s="78"/>
      <c r="K58" s="352"/>
      <c r="L58" s="352"/>
      <c r="M58" s="352"/>
      <c r="N58" s="352"/>
      <c r="O58" s="352"/>
      <c r="P58" s="352"/>
      <c r="R58" s="81"/>
      <c r="S58" s="78"/>
      <c r="T58" s="346"/>
      <c r="U58" s="346"/>
      <c r="V58" s="346"/>
      <c r="W58" s="346"/>
      <c r="X58" s="346"/>
      <c r="Y58" s="346"/>
      <c r="AA58" s="81"/>
    </row>
    <row r="59" spans="1:28" ht="20.25" customHeight="1" x14ac:dyDescent="0.3">
      <c r="A59" s="78"/>
      <c r="B59" s="532" t="s">
        <v>508</v>
      </c>
      <c r="C59" s="532"/>
      <c r="D59" s="532"/>
      <c r="E59" s="532"/>
      <c r="F59" s="532"/>
      <c r="G59" s="532"/>
      <c r="H59" s="77">
        <v>115000</v>
      </c>
      <c r="I59" s="81"/>
      <c r="J59" s="78"/>
      <c r="K59" s="352"/>
      <c r="L59" s="352"/>
      <c r="M59" s="352"/>
      <c r="N59" s="352"/>
      <c r="O59" s="352"/>
      <c r="P59" s="352"/>
      <c r="R59" s="81"/>
      <c r="S59" s="78"/>
      <c r="T59" s="346"/>
      <c r="U59" s="346"/>
      <c r="V59" s="346"/>
      <c r="W59" s="346"/>
      <c r="X59" s="346"/>
      <c r="Y59" s="346"/>
      <c r="AA59" s="81"/>
    </row>
    <row r="60" spans="1:28" ht="20.25" customHeight="1" x14ac:dyDescent="0.3">
      <c r="A60" s="78"/>
      <c r="B60" s="532" t="s">
        <v>509</v>
      </c>
      <c r="C60" s="532"/>
      <c r="D60" s="532"/>
      <c r="E60" s="532"/>
      <c r="F60" s="532"/>
      <c r="G60" s="532"/>
      <c r="H60" s="77">
        <v>75500</v>
      </c>
      <c r="I60" s="81"/>
      <c r="J60" s="78"/>
      <c r="K60" s="352"/>
      <c r="L60" s="352"/>
      <c r="M60" s="352"/>
      <c r="N60" s="352"/>
      <c r="O60" s="352"/>
      <c r="P60" s="352"/>
      <c r="R60" s="81"/>
      <c r="S60" s="78"/>
      <c r="T60" s="346"/>
      <c r="U60" s="346"/>
      <c r="V60" s="346"/>
      <c r="W60" s="346"/>
      <c r="X60" s="346"/>
      <c r="Y60" s="346"/>
      <c r="AA60" s="81"/>
    </row>
    <row r="61" spans="1:28" ht="20.25" customHeight="1" x14ac:dyDescent="0.3">
      <c r="A61" s="78"/>
      <c r="B61" s="532" t="s">
        <v>510</v>
      </c>
      <c r="C61" s="532"/>
      <c r="D61" s="532"/>
      <c r="E61" s="532"/>
      <c r="F61" s="532"/>
      <c r="G61" s="532"/>
      <c r="H61" s="77">
        <v>68000</v>
      </c>
      <c r="I61" s="81"/>
      <c r="J61" s="78"/>
      <c r="K61" s="352"/>
      <c r="L61" s="352"/>
      <c r="M61" s="352"/>
      <c r="N61" s="352"/>
      <c r="O61" s="352"/>
      <c r="P61" s="352"/>
      <c r="R61" s="81"/>
      <c r="S61" s="78"/>
      <c r="T61" s="346"/>
      <c r="U61" s="346"/>
      <c r="V61" s="346"/>
      <c r="W61" s="346"/>
      <c r="X61" s="346"/>
      <c r="Y61" s="346"/>
      <c r="AA61" s="81"/>
    </row>
    <row r="62" spans="1:28" ht="20.25" customHeight="1" x14ac:dyDescent="0.3">
      <c r="A62" s="78"/>
      <c r="B62" s="532" t="s">
        <v>511</v>
      </c>
      <c r="C62" s="532"/>
      <c r="D62" s="532"/>
      <c r="E62" s="532"/>
      <c r="F62" s="532"/>
      <c r="G62" s="532"/>
      <c r="H62" s="77">
        <v>54000</v>
      </c>
      <c r="I62" s="81"/>
      <c r="J62" s="78"/>
      <c r="K62" s="352"/>
      <c r="L62" s="352"/>
      <c r="M62" s="352"/>
      <c r="N62" s="352"/>
      <c r="O62" s="352"/>
      <c r="P62" s="352"/>
      <c r="R62" s="81"/>
      <c r="S62" s="78"/>
      <c r="T62" s="346"/>
      <c r="U62" s="346"/>
      <c r="V62" s="346"/>
      <c r="W62" s="346"/>
      <c r="X62" s="346"/>
      <c r="Y62" s="346"/>
      <c r="AA62" s="81"/>
    </row>
    <row r="63" spans="1:28" ht="20.25" customHeight="1" x14ac:dyDescent="0.3">
      <c r="A63" s="78"/>
      <c r="B63" s="532" t="s">
        <v>514</v>
      </c>
      <c r="C63" s="532"/>
      <c r="D63" s="532"/>
      <c r="E63" s="532"/>
      <c r="F63" s="532"/>
      <c r="G63" s="532"/>
      <c r="H63" s="77">
        <v>92000</v>
      </c>
      <c r="I63" s="81"/>
      <c r="J63" s="78"/>
      <c r="K63" s="352"/>
      <c r="L63" s="352"/>
      <c r="M63" s="352"/>
      <c r="N63" s="352"/>
      <c r="O63" s="352"/>
      <c r="P63" s="352"/>
      <c r="R63" s="81"/>
      <c r="S63" s="78"/>
      <c r="T63" s="346"/>
      <c r="U63" s="346"/>
      <c r="V63" s="346"/>
      <c r="W63" s="346"/>
      <c r="X63" s="346"/>
      <c r="Y63" s="346"/>
      <c r="AA63" s="81"/>
    </row>
    <row r="64" spans="1:28" ht="20.25" customHeight="1" x14ac:dyDescent="0.3">
      <c r="A64" s="78"/>
      <c r="B64" s="532" t="s">
        <v>515</v>
      </c>
      <c r="C64" s="532"/>
      <c r="D64" s="532"/>
      <c r="E64" s="532"/>
      <c r="F64" s="532"/>
      <c r="G64" s="532"/>
      <c r="H64" s="77">
        <v>470000</v>
      </c>
      <c r="I64" s="81"/>
      <c r="J64" s="78"/>
      <c r="K64" s="352"/>
      <c r="L64" s="352"/>
      <c r="M64" s="352"/>
      <c r="N64" s="352"/>
      <c r="O64" s="352"/>
      <c r="P64" s="352"/>
      <c r="R64" s="81"/>
      <c r="S64" s="78"/>
      <c r="T64" s="346"/>
      <c r="U64" s="346"/>
      <c r="V64" s="346"/>
      <c r="W64" s="346"/>
      <c r="X64" s="346"/>
      <c r="Y64" s="346"/>
      <c r="AA64" s="81"/>
    </row>
    <row r="65" spans="1:27" ht="20.25" customHeight="1" x14ac:dyDescent="0.3">
      <c r="A65" s="78"/>
      <c r="B65" s="532" t="s">
        <v>516</v>
      </c>
      <c r="C65" s="532"/>
      <c r="D65" s="532"/>
      <c r="E65" s="532"/>
      <c r="F65" s="532"/>
      <c r="G65" s="532"/>
      <c r="H65" s="77">
        <v>134000</v>
      </c>
      <c r="I65" s="81"/>
      <c r="J65" s="78"/>
      <c r="K65" s="352"/>
      <c r="L65" s="352"/>
      <c r="M65" s="352"/>
      <c r="N65" s="352"/>
      <c r="O65" s="352"/>
      <c r="P65" s="352"/>
      <c r="R65" s="81"/>
      <c r="S65" s="78"/>
      <c r="T65" s="346"/>
      <c r="U65" s="346"/>
      <c r="V65" s="346"/>
      <c r="W65" s="346"/>
      <c r="X65" s="346"/>
      <c r="Y65" s="346"/>
      <c r="AA65" s="81"/>
    </row>
    <row r="66" spans="1:27" ht="20.25" customHeight="1" x14ac:dyDescent="0.3">
      <c r="A66" s="78"/>
      <c r="B66" s="532" t="s">
        <v>517</v>
      </c>
      <c r="C66" s="532"/>
      <c r="D66" s="532"/>
      <c r="E66" s="532"/>
      <c r="F66" s="532"/>
      <c r="G66" s="532"/>
      <c r="H66" s="77">
        <v>20000</v>
      </c>
      <c r="I66" s="81"/>
      <c r="J66" s="78"/>
      <c r="K66" s="352"/>
      <c r="L66" s="352"/>
      <c r="M66" s="352"/>
      <c r="N66" s="352"/>
      <c r="O66" s="352"/>
      <c r="P66" s="352"/>
      <c r="R66" s="81"/>
      <c r="S66" s="78"/>
      <c r="T66" s="346"/>
      <c r="U66" s="346"/>
      <c r="V66" s="346"/>
      <c r="W66" s="346"/>
      <c r="X66" s="346"/>
      <c r="Y66" s="346"/>
      <c r="AA66" s="81"/>
    </row>
    <row r="67" spans="1:27" ht="20.25" customHeight="1" x14ac:dyDescent="0.3">
      <c r="A67" s="78"/>
      <c r="B67" s="532" t="s">
        <v>351</v>
      </c>
      <c r="C67" s="532"/>
      <c r="D67" s="532"/>
      <c r="E67" s="532"/>
      <c r="F67" s="532"/>
      <c r="G67" s="532"/>
      <c r="H67" s="77">
        <v>75000</v>
      </c>
      <c r="I67" s="81"/>
      <c r="J67" s="78"/>
      <c r="K67" s="352"/>
      <c r="L67" s="352"/>
      <c r="M67" s="352"/>
      <c r="N67" s="352"/>
      <c r="O67" s="352"/>
      <c r="P67" s="352"/>
      <c r="R67" s="81"/>
      <c r="S67" s="78"/>
      <c r="T67" s="346"/>
      <c r="U67" s="346"/>
      <c r="V67" s="346"/>
      <c r="W67" s="346"/>
      <c r="X67" s="346"/>
      <c r="Y67" s="346"/>
      <c r="AA67" s="81"/>
    </row>
    <row r="68" spans="1:27" ht="20.25" customHeight="1" x14ac:dyDescent="0.3">
      <c r="A68" s="78"/>
      <c r="B68" s="532" t="s">
        <v>518</v>
      </c>
      <c r="C68" s="532"/>
      <c r="D68" s="532"/>
      <c r="E68" s="532"/>
      <c r="F68" s="532"/>
      <c r="G68" s="532"/>
      <c r="H68" s="77">
        <v>392000</v>
      </c>
      <c r="I68" s="81"/>
      <c r="J68" s="78"/>
      <c r="K68" s="352"/>
      <c r="L68" s="352"/>
      <c r="M68" s="352"/>
      <c r="N68" s="352"/>
      <c r="O68" s="352"/>
      <c r="P68" s="352"/>
      <c r="R68" s="81"/>
      <c r="S68" s="78"/>
      <c r="T68" s="346"/>
      <c r="U68" s="346"/>
      <c r="V68" s="346"/>
      <c r="W68" s="346"/>
      <c r="X68" s="346"/>
      <c r="Y68" s="346"/>
      <c r="AA68" s="81"/>
    </row>
    <row r="69" spans="1:27" ht="11.25" customHeight="1" x14ac:dyDescent="0.3">
      <c r="A69" s="78"/>
      <c r="B69" s="532"/>
      <c r="C69" s="532"/>
      <c r="D69" s="532"/>
      <c r="E69" s="532"/>
      <c r="F69" s="532"/>
      <c r="G69" s="532"/>
      <c r="I69" s="81"/>
      <c r="J69" s="78"/>
      <c r="K69" s="352"/>
      <c r="L69" s="352"/>
      <c r="M69" s="352"/>
      <c r="N69" s="352"/>
      <c r="O69" s="352"/>
      <c r="P69" s="352"/>
      <c r="R69" s="81"/>
      <c r="S69" s="78"/>
      <c r="T69" s="346"/>
      <c r="U69" s="346"/>
      <c r="V69" s="346"/>
      <c r="W69" s="346"/>
      <c r="X69" s="346"/>
      <c r="Y69" s="346"/>
      <c r="AA69" s="81"/>
    </row>
    <row r="70" spans="1:27" ht="20.25" customHeight="1" x14ac:dyDescent="0.3">
      <c r="A70" s="78"/>
      <c r="B70" s="80" t="s">
        <v>115</v>
      </c>
      <c r="I70" s="81">
        <f>SUM(H71:H73)</f>
        <v>98920</v>
      </c>
      <c r="J70" s="78"/>
      <c r="K70" s="352"/>
      <c r="L70" s="352"/>
      <c r="M70" s="352"/>
      <c r="N70" s="352"/>
      <c r="O70" s="352"/>
      <c r="P70" s="352"/>
      <c r="R70" s="81"/>
      <c r="S70" s="78"/>
      <c r="T70" s="346"/>
      <c r="U70" s="346"/>
      <c r="V70" s="346"/>
      <c r="W70" s="346"/>
      <c r="X70" s="346"/>
      <c r="Y70" s="346"/>
      <c r="AA70" s="81"/>
    </row>
    <row r="71" spans="1:27" ht="20.25" customHeight="1" x14ac:dyDescent="0.3">
      <c r="A71" s="78"/>
      <c r="B71" s="532" t="s">
        <v>513</v>
      </c>
      <c r="C71" s="532"/>
      <c r="D71" s="532"/>
      <c r="E71" s="532"/>
      <c r="F71" s="532"/>
      <c r="G71" s="353"/>
      <c r="H71" s="77">
        <v>89500</v>
      </c>
      <c r="I71" s="81"/>
      <c r="J71" s="78"/>
      <c r="K71" s="369"/>
      <c r="L71" s="370"/>
      <c r="M71" s="370"/>
      <c r="N71" s="370"/>
      <c r="O71" s="370"/>
      <c r="P71" s="296"/>
      <c r="Q71" s="296"/>
      <c r="R71" s="371"/>
      <c r="S71" s="335"/>
      <c r="T71" s="366"/>
      <c r="AA71" s="81"/>
    </row>
    <row r="72" spans="1:27" ht="20.25" customHeight="1" x14ac:dyDescent="0.3">
      <c r="A72" s="78"/>
      <c r="B72" s="532" t="s">
        <v>519</v>
      </c>
      <c r="C72" s="532"/>
      <c r="D72" s="532"/>
      <c r="E72" s="532"/>
      <c r="F72" s="532"/>
      <c r="G72" s="532"/>
      <c r="H72" s="77">
        <v>2420</v>
      </c>
      <c r="I72" s="81"/>
      <c r="J72" s="78"/>
      <c r="K72" s="533"/>
      <c r="L72" s="533"/>
      <c r="M72" s="533"/>
      <c r="N72" s="533"/>
      <c r="O72" s="533"/>
      <c r="P72" s="533"/>
      <c r="Q72" s="296"/>
      <c r="R72" s="371"/>
      <c r="S72" s="335"/>
      <c r="T72" s="367"/>
      <c r="U72" s="346"/>
      <c r="V72" s="346"/>
      <c r="W72" s="346"/>
      <c r="X72" s="346"/>
      <c r="Y72" s="346"/>
      <c r="AA72" s="81"/>
    </row>
    <row r="73" spans="1:27" ht="20.25" customHeight="1" x14ac:dyDescent="0.3">
      <c r="A73" s="78"/>
      <c r="B73" s="532" t="s">
        <v>534</v>
      </c>
      <c r="C73" s="532"/>
      <c r="D73" s="532"/>
      <c r="E73" s="532"/>
      <c r="F73" s="532"/>
      <c r="G73" s="532"/>
      <c r="H73" s="77">
        <v>7000</v>
      </c>
      <c r="I73" s="81"/>
      <c r="J73" s="78"/>
      <c r="K73" s="372"/>
      <c r="L73" s="372"/>
      <c r="M73" s="372"/>
      <c r="N73" s="372"/>
      <c r="O73" s="372"/>
      <c r="P73" s="372"/>
      <c r="Q73" s="296"/>
      <c r="R73" s="371"/>
      <c r="S73" s="335"/>
      <c r="T73" s="367"/>
      <c r="U73" s="346"/>
      <c r="V73" s="346"/>
      <c r="W73" s="346"/>
      <c r="X73" s="346"/>
      <c r="Y73" s="346"/>
      <c r="AA73" s="81"/>
    </row>
    <row r="74" spans="1:27" ht="20.25" customHeight="1" x14ac:dyDescent="0.3">
      <c r="A74" s="78"/>
      <c r="B74" s="532"/>
      <c r="C74" s="532"/>
      <c r="D74" s="532"/>
      <c r="E74" s="532"/>
      <c r="F74" s="532"/>
      <c r="G74" s="532"/>
      <c r="I74" s="81"/>
      <c r="J74" s="78"/>
      <c r="K74" s="533"/>
      <c r="L74" s="533"/>
      <c r="M74" s="533"/>
      <c r="N74" s="533"/>
      <c r="O74" s="533"/>
      <c r="P74" s="533"/>
      <c r="Q74" s="296"/>
      <c r="R74" s="371"/>
      <c r="S74" s="335"/>
      <c r="T74" s="367"/>
      <c r="U74" s="346"/>
      <c r="V74" s="346"/>
      <c r="W74" s="346"/>
      <c r="X74" s="346"/>
      <c r="Y74" s="346"/>
      <c r="AA74" s="81"/>
    </row>
    <row r="75" spans="1:27" ht="21" thickBot="1" x14ac:dyDescent="0.35">
      <c r="B75" s="55"/>
      <c r="G75" s="55"/>
      <c r="H75" s="83"/>
      <c r="I75" s="82">
        <f>SUM(I46:I74)</f>
        <v>2760120</v>
      </c>
      <c r="K75" s="370"/>
      <c r="L75" s="370"/>
      <c r="M75" s="370"/>
      <c r="N75" s="370"/>
      <c r="O75" s="370"/>
      <c r="P75" s="370"/>
      <c r="Q75" s="370"/>
      <c r="R75" s="371"/>
      <c r="S75" s="59"/>
      <c r="T75" s="368"/>
      <c r="U75" s="231"/>
      <c r="V75" s="231"/>
      <c r="W75" s="231"/>
      <c r="X75" s="231"/>
      <c r="Y75" s="231"/>
      <c r="Z75" s="231"/>
      <c r="AA75" s="231"/>
    </row>
    <row r="76" spans="1:27" ht="21" thickTop="1" x14ac:dyDescent="0.3">
      <c r="B76" s="55"/>
      <c r="G76" s="55"/>
      <c r="H76" s="55"/>
      <c r="K76" s="55"/>
      <c r="P76" s="55"/>
      <c r="Q76" s="55"/>
    </row>
  </sheetData>
  <mergeCells count="43">
    <mergeCell ref="U49:Z49"/>
    <mergeCell ref="U50:Z50"/>
    <mergeCell ref="L10:O10"/>
    <mergeCell ref="C37:F37"/>
    <mergeCell ref="U47:Z47"/>
    <mergeCell ref="U48:Z48"/>
    <mergeCell ref="B47:G47"/>
    <mergeCell ref="K47:P47"/>
    <mergeCell ref="B48:G48"/>
    <mergeCell ref="B54:G54"/>
    <mergeCell ref="B55:G55"/>
    <mergeCell ref="B56:G56"/>
    <mergeCell ref="B57:G57"/>
    <mergeCell ref="K48:P48"/>
    <mergeCell ref="K49:P49"/>
    <mergeCell ref="K50:P50"/>
    <mergeCell ref="K54:P54"/>
    <mergeCell ref="K55:P55"/>
    <mergeCell ref="K51:P51"/>
    <mergeCell ref="K52:P52"/>
    <mergeCell ref="K53:P53"/>
    <mergeCell ref="B51:G51"/>
    <mergeCell ref="K72:P72"/>
    <mergeCell ref="K74:P74"/>
    <mergeCell ref="B52:G52"/>
    <mergeCell ref="B67:G67"/>
    <mergeCell ref="B68:G68"/>
    <mergeCell ref="B69:G69"/>
    <mergeCell ref="B73:G73"/>
    <mergeCell ref="L57:O57"/>
    <mergeCell ref="B53:G53"/>
    <mergeCell ref="B72:G72"/>
    <mergeCell ref="B74:G74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71:F71"/>
  </mergeCells>
  <pageMargins left="0.63" right="0.38" top="0.79" bottom="0.22" header="0.3" footer="0.2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79"/>
  <sheetViews>
    <sheetView view="pageBreakPreview" topLeftCell="A37" zoomScaleNormal="100" zoomScaleSheetLayoutView="100" workbookViewId="0">
      <selection activeCell="F12" sqref="F12"/>
    </sheetView>
  </sheetViews>
  <sheetFormatPr defaultRowHeight="20.25" x14ac:dyDescent="0.5"/>
  <cols>
    <col min="1" max="1" width="52" style="409" customWidth="1"/>
    <col min="2" max="2" width="11" style="403" customWidth="1"/>
    <col min="3" max="4" width="21.28515625" style="409" bestFit="1" customWidth="1"/>
    <col min="5" max="5" width="19.7109375" style="409" bestFit="1" customWidth="1"/>
    <col min="6" max="6" width="21.28515625" style="409" bestFit="1" customWidth="1"/>
    <col min="7" max="7" width="19.28515625" style="410" bestFit="1" customWidth="1"/>
    <col min="8" max="8" width="12.28515625" style="409" bestFit="1" customWidth="1"/>
    <col min="9" max="9" width="9.28515625" style="409" bestFit="1" customWidth="1"/>
    <col min="10" max="10" width="12.28515625" style="409" bestFit="1" customWidth="1"/>
    <col min="11" max="11" width="17.140625" style="409" bestFit="1" customWidth="1"/>
    <col min="12" max="12" width="13.7109375" style="409" bestFit="1" customWidth="1"/>
    <col min="13" max="17" width="9.140625" style="409"/>
    <col min="18" max="18" width="12.42578125" style="409" bestFit="1" customWidth="1"/>
    <col min="19" max="16384" width="9.140625" style="409"/>
  </cols>
  <sheetData>
    <row r="1" spans="1:24" s="403" customFormat="1" ht="20.100000000000001" customHeight="1" x14ac:dyDescent="0.5">
      <c r="A1" s="536" t="s">
        <v>374</v>
      </c>
      <c r="B1" s="536"/>
      <c r="C1" s="536"/>
      <c r="D1" s="536"/>
      <c r="G1" s="404"/>
    </row>
    <row r="2" spans="1:24" s="403" customFormat="1" ht="20.100000000000001" customHeight="1" x14ac:dyDescent="0.5">
      <c r="A2" s="537" t="s">
        <v>430</v>
      </c>
      <c r="B2" s="537"/>
      <c r="C2" s="537"/>
      <c r="D2" s="537"/>
      <c r="G2" s="404"/>
    </row>
    <row r="3" spans="1:24" s="403" customFormat="1" ht="20.100000000000001" customHeight="1" x14ac:dyDescent="0.5">
      <c r="A3" s="538" t="s">
        <v>533</v>
      </c>
      <c r="B3" s="538"/>
      <c r="C3" s="538"/>
      <c r="D3" s="538"/>
      <c r="G3" s="404"/>
      <c r="R3" s="405"/>
      <c r="S3" s="405"/>
      <c r="T3" s="405"/>
      <c r="U3" s="405"/>
      <c r="V3" s="405"/>
      <c r="W3" s="405"/>
      <c r="X3" s="405"/>
    </row>
    <row r="4" spans="1:24" ht="20.100000000000001" customHeight="1" x14ac:dyDescent="0.5">
      <c r="A4" s="406" t="s">
        <v>133</v>
      </c>
      <c r="B4" s="407" t="s">
        <v>375</v>
      </c>
      <c r="C4" s="408" t="s">
        <v>376</v>
      </c>
      <c r="D4" s="406" t="s">
        <v>377</v>
      </c>
      <c r="R4" s="411"/>
      <c r="S4" s="411"/>
      <c r="T4" s="411"/>
      <c r="U4" s="411"/>
      <c r="V4" s="411"/>
      <c r="W4" s="411"/>
      <c r="X4" s="411"/>
    </row>
    <row r="5" spans="1:24" s="416" customFormat="1" x14ac:dyDescent="0.3">
      <c r="A5" s="412" t="s">
        <v>378</v>
      </c>
      <c r="B5" s="413" t="s">
        <v>379</v>
      </c>
      <c r="C5" s="414">
        <f>[3]ก.ย.!$K$922</f>
        <v>785136.01</v>
      </c>
      <c r="D5" s="415"/>
    </row>
    <row r="6" spans="1:24" s="416" customFormat="1" x14ac:dyDescent="0.3">
      <c r="A6" s="412" t="s">
        <v>380</v>
      </c>
      <c r="B6" s="413" t="s">
        <v>379</v>
      </c>
      <c r="C6" s="414">
        <f>[3]ก.ย.!$K$924</f>
        <v>41515.229999999996</v>
      </c>
      <c r="D6" s="415"/>
    </row>
    <row r="7" spans="1:24" s="416" customFormat="1" x14ac:dyDescent="0.3">
      <c r="A7" s="417" t="s">
        <v>381</v>
      </c>
      <c r="B7" s="413" t="s">
        <v>379</v>
      </c>
      <c r="C7" s="414">
        <f>[3]ก.ย.!$K$928</f>
        <v>5376338.0800000019</v>
      </c>
      <c r="D7" s="415"/>
      <c r="G7" s="418"/>
    </row>
    <row r="8" spans="1:24" s="416" customFormat="1" x14ac:dyDescent="0.3">
      <c r="A8" s="417" t="s">
        <v>382</v>
      </c>
      <c r="B8" s="413" t="s">
        <v>379</v>
      </c>
      <c r="C8" s="414">
        <f>[3]ก.ย.!$K$927</f>
        <v>8748.68</v>
      </c>
      <c r="D8" s="415"/>
      <c r="G8" s="418"/>
    </row>
    <row r="9" spans="1:24" s="416" customFormat="1" x14ac:dyDescent="0.3">
      <c r="A9" s="419" t="s">
        <v>383</v>
      </c>
      <c r="B9" s="413" t="s">
        <v>384</v>
      </c>
      <c r="C9" s="414">
        <f>[3]ก.ย.!$K$929</f>
        <v>15000000</v>
      </c>
      <c r="D9" s="415"/>
      <c r="F9" s="418"/>
      <c r="G9" s="418"/>
    </row>
    <row r="10" spans="1:24" s="416" customFormat="1" x14ac:dyDescent="0.3">
      <c r="A10" s="412" t="s">
        <v>385</v>
      </c>
      <c r="B10" s="413" t="s">
        <v>386</v>
      </c>
      <c r="C10" s="414">
        <f>[3]ก.ย.!$K$926</f>
        <v>954950.44</v>
      </c>
      <c r="D10" s="415"/>
      <c r="F10" s="418"/>
      <c r="G10" s="418"/>
    </row>
    <row r="11" spans="1:24" s="416" customFormat="1" x14ac:dyDescent="0.3">
      <c r="A11" s="412" t="s">
        <v>387</v>
      </c>
      <c r="B11" s="413" t="s">
        <v>388</v>
      </c>
      <c r="C11" s="414">
        <f>[9]ส.ค.!C11</f>
        <v>1598015.75</v>
      </c>
      <c r="D11" s="415"/>
      <c r="F11" s="420"/>
      <c r="G11" s="418"/>
    </row>
    <row r="12" spans="1:24" s="416" customFormat="1" x14ac:dyDescent="0.3">
      <c r="A12" s="412" t="s">
        <v>454</v>
      </c>
      <c r="B12" s="413" t="s">
        <v>389</v>
      </c>
      <c r="C12" s="414">
        <f>[9]ส.ค.!C12+461000</f>
        <v>491400</v>
      </c>
      <c r="D12" s="421"/>
      <c r="G12" s="418"/>
    </row>
    <row r="13" spans="1:24" s="403" customFormat="1" ht="20.100000000000001" customHeight="1" x14ac:dyDescent="0.3">
      <c r="A13" s="412" t="s">
        <v>86</v>
      </c>
      <c r="B13" s="422" t="s">
        <v>390</v>
      </c>
      <c r="C13" s="414">
        <f>[9]ส.ค.!C13-14.25-144.4+126.35</f>
        <v>126.35</v>
      </c>
      <c r="D13" s="423"/>
      <c r="H13" s="404"/>
    </row>
    <row r="14" spans="1:24" s="403" customFormat="1" ht="20.100000000000001" customHeight="1" x14ac:dyDescent="0.3">
      <c r="A14" s="412" t="s">
        <v>391</v>
      </c>
      <c r="B14" s="422" t="s">
        <v>392</v>
      </c>
      <c r="C14" s="414">
        <f>[10]ก.ย.!$D$75-[10]ก.ย.!$D$20</f>
        <v>0</v>
      </c>
      <c r="D14" s="423"/>
      <c r="H14" s="404"/>
    </row>
    <row r="15" spans="1:24" s="403" customFormat="1" ht="20.100000000000001" customHeight="1" x14ac:dyDescent="0.3">
      <c r="A15" s="412" t="s">
        <v>4</v>
      </c>
      <c r="B15" s="422" t="s">
        <v>393</v>
      </c>
      <c r="C15" s="414">
        <f>[9]ก.ค.!C15</f>
        <v>0</v>
      </c>
      <c r="D15" s="424"/>
      <c r="E15" s="404"/>
      <c r="F15" s="404"/>
      <c r="G15" s="404"/>
      <c r="H15" s="404"/>
      <c r="I15" s="404"/>
      <c r="J15" s="404"/>
      <c r="K15" s="425"/>
      <c r="L15" s="426"/>
    </row>
    <row r="16" spans="1:24" s="403" customFormat="1" ht="20.100000000000001" customHeight="1" x14ac:dyDescent="0.3">
      <c r="A16" s="412" t="s">
        <v>14</v>
      </c>
      <c r="B16" s="422" t="s">
        <v>394</v>
      </c>
      <c r="C16" s="414">
        <f>[9]ส.ค.!C16</f>
        <v>189500</v>
      </c>
      <c r="D16" s="424"/>
      <c r="E16" s="404"/>
      <c r="F16" s="404"/>
      <c r="G16" s="404"/>
      <c r="H16" s="404"/>
      <c r="I16" s="404"/>
      <c r="J16" s="404"/>
      <c r="K16" s="425"/>
      <c r="L16" s="426"/>
    </row>
    <row r="17" spans="1:24" s="403" customFormat="1" ht="20.100000000000001" customHeight="1" x14ac:dyDescent="0.3">
      <c r="A17" s="417" t="s">
        <v>395</v>
      </c>
      <c r="B17" s="413" t="s">
        <v>396</v>
      </c>
      <c r="C17" s="427"/>
      <c r="D17" s="423">
        <f>[4]ก.ย.!$E$14</f>
        <v>388561</v>
      </c>
      <c r="G17" s="404"/>
      <c r="R17" s="405"/>
      <c r="S17" s="405"/>
      <c r="T17" s="405"/>
      <c r="U17" s="405"/>
      <c r="V17" s="405"/>
      <c r="W17" s="405"/>
      <c r="X17" s="405"/>
    </row>
    <row r="18" spans="1:24" s="403" customFormat="1" ht="20.100000000000001" customHeight="1" x14ac:dyDescent="0.5">
      <c r="A18" s="417" t="s">
        <v>397</v>
      </c>
      <c r="B18" s="428" t="s">
        <v>398</v>
      </c>
      <c r="C18" s="429"/>
      <c r="D18" s="423">
        <f>[4]ก.ย.!$E$25</f>
        <v>2632480</v>
      </c>
      <c r="G18" s="404"/>
    </row>
    <row r="19" spans="1:24" s="403" customFormat="1" ht="20.100000000000001" customHeight="1" x14ac:dyDescent="0.5">
      <c r="A19" s="412" t="s">
        <v>399</v>
      </c>
      <c r="B19" s="422" t="s">
        <v>400</v>
      </c>
      <c r="C19" s="429"/>
      <c r="D19" s="423">
        <f>[4]ก.ย.!$E$16-D17</f>
        <v>1637195.7200000002</v>
      </c>
      <c r="E19" s="426"/>
      <c r="F19" s="426"/>
      <c r="G19" s="404"/>
    </row>
    <row r="20" spans="1:24" s="403" customFormat="1" ht="20.100000000000001" customHeight="1" x14ac:dyDescent="0.5">
      <c r="A20" s="417" t="s">
        <v>38</v>
      </c>
      <c r="B20" s="428" t="s">
        <v>401</v>
      </c>
      <c r="C20" s="430"/>
      <c r="D20" s="423">
        <f>[9]ส.ค.!D20+249.36</f>
        <v>10260771.929999998</v>
      </c>
      <c r="G20" s="404"/>
    </row>
    <row r="21" spans="1:24" s="403" customFormat="1" ht="20.100000000000001" customHeight="1" x14ac:dyDescent="0.5">
      <c r="A21" s="412" t="s">
        <v>402</v>
      </c>
      <c r="B21" s="422" t="s">
        <v>403</v>
      </c>
      <c r="C21" s="427"/>
      <c r="D21" s="423">
        <f>[9]ส.ค.!D21</f>
        <v>8973074.2799999993</v>
      </c>
      <c r="F21" s="426"/>
      <c r="G21" s="431"/>
    </row>
    <row r="22" spans="1:24" s="403" customFormat="1" ht="20.100000000000001" customHeight="1" x14ac:dyDescent="0.5">
      <c r="A22" s="412" t="s">
        <v>152</v>
      </c>
      <c r="B22" s="422" t="s">
        <v>404</v>
      </c>
      <c r="C22" s="427"/>
      <c r="D22" s="432">
        <f>[11]ก.ย.!$D$134</f>
        <v>43282635.879999995</v>
      </c>
      <c r="E22" s="404"/>
      <c r="F22" s="404"/>
      <c r="G22" s="404"/>
      <c r="H22" s="433"/>
    </row>
    <row r="23" spans="1:24" s="403" customFormat="1" ht="20.100000000000001" customHeight="1" x14ac:dyDescent="0.5">
      <c r="A23" s="412" t="s">
        <v>145</v>
      </c>
      <c r="B23" s="422" t="s">
        <v>405</v>
      </c>
      <c r="C23" s="427">
        <f>[10]ก.ย.!$D51</f>
        <v>653125.12</v>
      </c>
      <c r="D23" s="432"/>
      <c r="E23" s="426"/>
      <c r="F23" s="425"/>
      <c r="G23" s="404"/>
      <c r="H23" s="433"/>
    </row>
    <row r="24" spans="1:24" s="403" customFormat="1" ht="20.100000000000001" customHeight="1" x14ac:dyDescent="0.5">
      <c r="A24" s="412" t="s">
        <v>145</v>
      </c>
      <c r="B24" s="422" t="s">
        <v>406</v>
      </c>
      <c r="C24" s="427">
        <f>[10]ก.ย.!$D52</f>
        <v>8472800</v>
      </c>
      <c r="D24" s="432"/>
      <c r="E24" s="434"/>
      <c r="G24" s="404"/>
      <c r="H24" s="433"/>
    </row>
    <row r="25" spans="1:24" s="403" customFormat="1" ht="20.100000000000001" customHeight="1" x14ac:dyDescent="0.5">
      <c r="A25" s="412" t="s">
        <v>147</v>
      </c>
      <c r="B25" s="422" t="s">
        <v>407</v>
      </c>
      <c r="C25" s="427">
        <f>[10]ก.ย.!$D53</f>
        <v>2624640</v>
      </c>
      <c r="D25" s="432"/>
      <c r="E25" s="426"/>
      <c r="F25" s="434"/>
      <c r="G25" s="404"/>
      <c r="H25" s="433"/>
    </row>
    <row r="26" spans="1:24" s="403" customFormat="1" ht="20.100000000000001" customHeight="1" x14ac:dyDescent="0.5">
      <c r="A26" s="412" t="s">
        <v>148</v>
      </c>
      <c r="B26" s="428" t="s">
        <v>408</v>
      </c>
      <c r="C26" s="427">
        <f>[10]ก.ย.!$D54</f>
        <v>7939566</v>
      </c>
      <c r="D26" s="432"/>
      <c r="E26" s="434"/>
      <c r="F26" s="434"/>
      <c r="G26" s="404"/>
      <c r="H26" s="433"/>
    </row>
    <row r="27" spans="1:24" s="403" customFormat="1" ht="20.100000000000001" customHeight="1" x14ac:dyDescent="0.5">
      <c r="A27" s="412" t="s">
        <v>148</v>
      </c>
      <c r="B27" s="428" t="s">
        <v>409</v>
      </c>
      <c r="C27" s="427">
        <f>[10]ก.ย.!$D55</f>
        <v>2085395</v>
      </c>
      <c r="D27" s="432"/>
      <c r="E27" s="434"/>
      <c r="F27" s="434"/>
      <c r="G27" s="404"/>
      <c r="H27" s="433"/>
    </row>
    <row r="28" spans="1:24" s="403" customFormat="1" ht="20.100000000000001" customHeight="1" x14ac:dyDescent="0.5">
      <c r="A28" s="417" t="s">
        <v>109</v>
      </c>
      <c r="B28" s="428" t="s">
        <v>410</v>
      </c>
      <c r="C28" s="427">
        <f>[10]ก.ย.!$D56</f>
        <v>993687</v>
      </c>
      <c r="D28" s="432"/>
      <c r="E28" s="434"/>
      <c r="F28" s="434"/>
      <c r="G28" s="404"/>
      <c r="H28" s="433"/>
    </row>
    <row r="29" spans="1:24" s="403" customFormat="1" ht="20.100000000000001" customHeight="1" x14ac:dyDescent="0.5">
      <c r="A29" s="417" t="s">
        <v>109</v>
      </c>
      <c r="B29" s="428" t="s">
        <v>411</v>
      </c>
      <c r="C29" s="427">
        <f>[10]ก.ย.!$D57</f>
        <v>0</v>
      </c>
      <c r="D29" s="432"/>
      <c r="E29" s="434"/>
      <c r="F29" s="434"/>
      <c r="G29" s="435"/>
    </row>
    <row r="30" spans="1:24" s="403" customFormat="1" ht="20.100000000000001" customHeight="1" x14ac:dyDescent="0.5">
      <c r="A30" s="412" t="s">
        <v>112</v>
      </c>
      <c r="B30" s="422" t="s">
        <v>412</v>
      </c>
      <c r="C30" s="427">
        <f>[10]ก.ย.!$D58</f>
        <v>5867394.8700000001</v>
      </c>
      <c r="D30" s="432"/>
      <c r="F30" s="434"/>
      <c r="G30" s="435"/>
      <c r="H30" s="436"/>
    </row>
    <row r="31" spans="1:24" s="403" customFormat="1" ht="20.100000000000001" customHeight="1" x14ac:dyDescent="0.5">
      <c r="A31" s="412" t="s">
        <v>112</v>
      </c>
      <c r="B31" s="422" t="s">
        <v>413</v>
      </c>
      <c r="C31" s="427">
        <f>[10]ก.ย.!$D59</f>
        <v>1041120</v>
      </c>
      <c r="D31" s="432"/>
      <c r="E31" s="434"/>
      <c r="G31" s="435"/>
      <c r="H31" s="436"/>
      <c r="J31" s="426"/>
    </row>
    <row r="32" spans="1:24" s="403" customFormat="1" ht="20.100000000000001" customHeight="1" x14ac:dyDescent="0.5">
      <c r="A32" s="412" t="s">
        <v>110</v>
      </c>
      <c r="B32" s="422" t="s">
        <v>414</v>
      </c>
      <c r="C32" s="427">
        <f>[10]ก.ย.!$D60</f>
        <v>803424.40000000014</v>
      </c>
      <c r="D32" s="432"/>
      <c r="E32" s="434"/>
      <c r="F32" s="434"/>
      <c r="G32" s="404"/>
    </row>
    <row r="33" spans="1:7" s="403" customFormat="1" ht="20.100000000000001" customHeight="1" x14ac:dyDescent="0.5">
      <c r="A33" s="412" t="s">
        <v>110</v>
      </c>
      <c r="B33" s="422" t="s">
        <v>415</v>
      </c>
      <c r="C33" s="427">
        <f>[10]ก.ย.!$D61</f>
        <v>671910.15999999992</v>
      </c>
      <c r="D33" s="432"/>
      <c r="E33" s="434"/>
    </row>
    <row r="34" spans="1:7" s="403" customFormat="1" ht="20.100000000000001" customHeight="1" x14ac:dyDescent="0.5">
      <c r="A34" s="412" t="s">
        <v>149</v>
      </c>
      <c r="B34" s="422" t="s">
        <v>416</v>
      </c>
      <c r="C34" s="427">
        <f>[10]ก.ย.!$D62</f>
        <v>313623.75</v>
      </c>
      <c r="D34" s="432"/>
      <c r="E34" s="425"/>
      <c r="F34" s="434"/>
      <c r="G34" s="404"/>
    </row>
    <row r="35" spans="1:7" s="403" customFormat="1" ht="20.100000000000001" customHeight="1" x14ac:dyDescent="0.5">
      <c r="A35" s="437" t="s">
        <v>149</v>
      </c>
      <c r="B35" s="428" t="s">
        <v>417</v>
      </c>
      <c r="C35" s="427">
        <f>[10]ก.ย.!$D63</f>
        <v>0</v>
      </c>
      <c r="D35" s="432"/>
      <c r="E35" s="434"/>
      <c r="F35" s="434"/>
      <c r="G35" s="404"/>
    </row>
    <row r="36" spans="1:7" s="403" customFormat="1" ht="20.100000000000001" customHeight="1" x14ac:dyDescent="0.5">
      <c r="A36" s="437" t="s">
        <v>418</v>
      </c>
      <c r="B36" s="438">
        <v>541000</v>
      </c>
      <c r="C36" s="427">
        <f>[10]ก.ย.!$D64</f>
        <v>868604</v>
      </c>
      <c r="D36" s="432"/>
      <c r="F36" s="434"/>
      <c r="G36" s="404"/>
    </row>
    <row r="37" spans="1:7" s="403" customFormat="1" ht="20.100000000000001" customHeight="1" x14ac:dyDescent="0.5">
      <c r="A37" s="437" t="s">
        <v>418</v>
      </c>
      <c r="B37" s="438">
        <v>6541000</v>
      </c>
      <c r="C37" s="427">
        <f>[10]ก.ย.!$D65</f>
        <v>3500</v>
      </c>
      <c r="D37" s="432"/>
      <c r="E37" s="434"/>
      <c r="G37" s="404"/>
    </row>
    <row r="38" spans="1:7" s="403" customFormat="1" ht="20.100000000000001" customHeight="1" x14ac:dyDescent="0.5">
      <c r="A38" s="437" t="s">
        <v>419</v>
      </c>
      <c r="B38" s="438">
        <v>542000</v>
      </c>
      <c r="C38" s="427">
        <f>[10]ก.ย.!$D66</f>
        <v>7000</v>
      </c>
      <c r="D38" s="432"/>
      <c r="F38" s="434"/>
      <c r="G38" s="404"/>
    </row>
    <row r="39" spans="1:7" s="403" customFormat="1" ht="20.100000000000001" customHeight="1" x14ac:dyDescent="0.5">
      <c r="A39" s="437" t="s">
        <v>419</v>
      </c>
      <c r="B39" s="438">
        <v>6542000</v>
      </c>
      <c r="C39" s="427">
        <f>[10]ก.ย.!$D67</f>
        <v>2753120</v>
      </c>
      <c r="D39" s="432"/>
      <c r="E39" s="434"/>
      <c r="G39" s="404"/>
    </row>
    <row r="40" spans="1:7" s="403" customFormat="1" ht="20.100000000000001" customHeight="1" x14ac:dyDescent="0.5">
      <c r="A40" s="437" t="s">
        <v>111</v>
      </c>
      <c r="B40" s="438">
        <v>551000</v>
      </c>
      <c r="C40" s="427">
        <f>[10]ก.ย.!$D68</f>
        <v>38200</v>
      </c>
      <c r="D40" s="432"/>
      <c r="F40" s="434"/>
      <c r="G40" s="404"/>
    </row>
    <row r="41" spans="1:7" s="403" customFormat="1" ht="20.100000000000001" customHeight="1" x14ac:dyDescent="0.5">
      <c r="A41" s="439" t="s">
        <v>111</v>
      </c>
      <c r="B41" s="440">
        <v>6551000</v>
      </c>
      <c r="C41" s="427">
        <f>[10]ก.ย.!$D69</f>
        <v>0</v>
      </c>
      <c r="D41" s="432"/>
      <c r="E41" s="434"/>
      <c r="G41" s="404"/>
    </row>
    <row r="42" spans="1:7" s="403" customFormat="1" ht="20.100000000000001" customHeight="1" x14ac:dyDescent="0.5">
      <c r="A42" s="441" t="s">
        <v>117</v>
      </c>
      <c r="B42" s="429">
        <v>561000</v>
      </c>
      <c r="C42" s="427">
        <f>[10]ก.ย.!$D70</f>
        <v>220000</v>
      </c>
      <c r="D42" s="432"/>
      <c r="F42" s="434"/>
      <c r="G42" s="404"/>
    </row>
    <row r="43" spans="1:7" s="403" customFormat="1" ht="20.100000000000001" customHeight="1" x14ac:dyDescent="0.5">
      <c r="A43" s="441" t="s">
        <v>117</v>
      </c>
      <c r="B43" s="429">
        <v>6561000</v>
      </c>
      <c r="C43" s="427">
        <f>[10]ก.ย.!$D71</f>
        <v>1078000</v>
      </c>
      <c r="D43" s="442"/>
      <c r="E43" s="434"/>
      <c r="F43" s="434"/>
      <c r="G43" s="404"/>
    </row>
    <row r="44" spans="1:7" s="403" customFormat="1" ht="20.100000000000001" customHeight="1" x14ac:dyDescent="0.5">
      <c r="A44" s="443" t="s">
        <v>164</v>
      </c>
      <c r="B44" s="444">
        <v>440000</v>
      </c>
      <c r="C44" s="445">
        <f>[10]ก.ย.!$D72</f>
        <v>6293877.9699999997</v>
      </c>
      <c r="D44" s="445"/>
      <c r="E44" s="434"/>
      <c r="F44" s="425"/>
      <c r="G44" s="404"/>
    </row>
    <row r="45" spans="1:7" s="403" customFormat="1" ht="20.100000000000001" customHeight="1" thickBot="1" x14ac:dyDescent="0.55000000000000004">
      <c r="A45" s="430" t="s">
        <v>420</v>
      </c>
      <c r="B45" s="446"/>
      <c r="C45" s="447">
        <f>SUM(C5:C44)</f>
        <v>67174718.810000002</v>
      </c>
      <c r="D45" s="448">
        <f>SUM(D5:D44)</f>
        <v>67174718.810000002</v>
      </c>
      <c r="E45" s="434"/>
      <c r="F45" s="434"/>
      <c r="G45" s="404"/>
    </row>
    <row r="46" spans="1:7" s="403" customFormat="1" ht="17.25" customHeight="1" thickTop="1" x14ac:dyDescent="0.5">
      <c r="A46" s="430"/>
      <c r="B46" s="449"/>
      <c r="C46" s="450"/>
      <c r="D46" s="450"/>
      <c r="E46" s="434"/>
      <c r="F46" s="434"/>
      <c r="G46" s="404"/>
    </row>
    <row r="47" spans="1:7" s="416" customFormat="1" ht="17.25" customHeight="1" x14ac:dyDescent="0.3">
      <c r="A47" s="451" t="s">
        <v>421</v>
      </c>
      <c r="B47" s="451" t="s">
        <v>422</v>
      </c>
      <c r="C47" s="452"/>
      <c r="D47" s="452"/>
      <c r="G47" s="418"/>
    </row>
    <row r="48" spans="1:7" s="416" customFormat="1" ht="17.25" customHeight="1" x14ac:dyDescent="0.3">
      <c r="A48" s="453" t="s">
        <v>423</v>
      </c>
      <c r="B48" s="451"/>
      <c r="C48" s="451"/>
      <c r="D48" s="452"/>
      <c r="E48" s="420"/>
      <c r="F48" s="418"/>
      <c r="G48" s="454"/>
    </row>
    <row r="49" spans="1:8" s="416" customFormat="1" ht="17.25" customHeight="1" x14ac:dyDescent="0.3">
      <c r="A49" s="451" t="s">
        <v>421</v>
      </c>
      <c r="B49" s="451" t="s">
        <v>424</v>
      </c>
      <c r="C49" s="451"/>
      <c r="D49" s="452"/>
      <c r="E49" s="420"/>
      <c r="F49" s="418"/>
      <c r="G49" s="454"/>
    </row>
    <row r="50" spans="1:8" s="416" customFormat="1" ht="17.25" customHeight="1" x14ac:dyDescent="0.3">
      <c r="A50" s="453" t="s">
        <v>425</v>
      </c>
      <c r="B50" s="451"/>
      <c r="C50" s="451"/>
      <c r="D50" s="452"/>
      <c r="E50" s="420"/>
      <c r="F50" s="418"/>
      <c r="G50" s="454"/>
    </row>
    <row r="51" spans="1:8" s="416" customFormat="1" ht="17.25" customHeight="1" x14ac:dyDescent="0.3">
      <c r="A51" s="451" t="s">
        <v>421</v>
      </c>
      <c r="B51" s="451" t="s">
        <v>426</v>
      </c>
      <c r="C51" s="451"/>
      <c r="D51" s="451"/>
      <c r="G51" s="418"/>
    </row>
    <row r="52" spans="1:8" s="416" customFormat="1" ht="17.25" customHeight="1" x14ac:dyDescent="0.3">
      <c r="A52" s="453" t="s">
        <v>427</v>
      </c>
      <c r="B52" s="451"/>
      <c r="C52" s="451"/>
      <c r="D52" s="451"/>
    </row>
    <row r="53" spans="1:8" s="416" customFormat="1" ht="17.25" customHeight="1" x14ac:dyDescent="0.3">
      <c r="A53" s="451" t="s">
        <v>421</v>
      </c>
      <c r="B53" s="451" t="s">
        <v>428</v>
      </c>
      <c r="C53" s="451"/>
      <c r="D53" s="451"/>
    </row>
    <row r="54" spans="1:8" s="416" customFormat="1" ht="17.25" customHeight="1" x14ac:dyDescent="0.3">
      <c r="A54" s="453" t="s">
        <v>429</v>
      </c>
      <c r="B54" s="451"/>
      <c r="C54" s="451"/>
      <c r="D54" s="451"/>
    </row>
    <row r="55" spans="1:8" s="403" customFormat="1" x14ac:dyDescent="0.5">
      <c r="C55" s="426"/>
      <c r="G55" s="426"/>
      <c r="H55" s="455"/>
    </row>
    <row r="56" spans="1:8" s="403" customFormat="1" ht="20.100000000000001" customHeight="1" x14ac:dyDescent="0.5">
      <c r="D56" s="426"/>
      <c r="E56" s="426"/>
      <c r="F56" s="456"/>
      <c r="G56" s="426"/>
      <c r="H56" s="404"/>
    </row>
    <row r="57" spans="1:8" s="403" customFormat="1" ht="20.100000000000001" customHeight="1" x14ac:dyDescent="0.5">
      <c r="G57" s="404"/>
    </row>
    <row r="58" spans="1:8" s="403" customFormat="1" ht="20.100000000000001" customHeight="1" x14ac:dyDescent="0.5">
      <c r="E58" s="434"/>
      <c r="G58" s="404"/>
    </row>
    <row r="59" spans="1:8" ht="18.75" customHeight="1" x14ac:dyDescent="0.5">
      <c r="A59" s="403"/>
      <c r="C59" s="403"/>
      <c r="D59" s="403"/>
    </row>
    <row r="60" spans="1:8" ht="10.5" customHeight="1" x14ac:dyDescent="0.5">
      <c r="A60" s="403"/>
      <c r="C60" s="403"/>
      <c r="D60" s="403"/>
    </row>
    <row r="62" spans="1:8" x14ac:dyDescent="0.5">
      <c r="A62" s="405"/>
      <c r="B62" s="405"/>
      <c r="C62" s="411"/>
      <c r="D62" s="411"/>
    </row>
    <row r="63" spans="1:8" x14ac:dyDescent="0.5">
      <c r="A63" s="405"/>
      <c r="B63" s="405"/>
      <c r="C63" s="405"/>
      <c r="D63" s="405"/>
    </row>
    <row r="64" spans="1:8" x14ac:dyDescent="0.5">
      <c r="B64" s="409"/>
      <c r="C64" s="403"/>
      <c r="D64" s="403"/>
    </row>
    <row r="65" spans="2:18" x14ac:dyDescent="0.5">
      <c r="B65" s="409"/>
      <c r="C65" s="403"/>
      <c r="D65" s="403"/>
    </row>
    <row r="66" spans="2:18" x14ac:dyDescent="0.5">
      <c r="B66" s="409"/>
    </row>
    <row r="78" spans="2:18" x14ac:dyDescent="0.5">
      <c r="R78" s="457"/>
    </row>
    <row r="79" spans="2:18" x14ac:dyDescent="0.5">
      <c r="R79" s="457"/>
    </row>
  </sheetData>
  <mergeCells count="3">
    <mergeCell ref="A1:D1"/>
    <mergeCell ref="A2:D2"/>
    <mergeCell ref="A3:D3"/>
  </mergeCells>
  <pageMargins left="1.1599999999999999" right="0.35" top="0.37" bottom="0.12" header="0.33" footer="0.12"/>
  <pageSetup paperSize="9" scale="77" orientation="portrait" r:id="rId1"/>
  <headerFooter alignWithMargins="0"/>
  <rowBreaks count="1" manualBreakCount="1">
    <brk id="60" max="11" man="1"/>
  </rowBreaks>
  <colBreaks count="1" manualBreakCount="1">
    <brk id="4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6"/>
  <sheetViews>
    <sheetView view="pageBreakPreview" zoomScaleNormal="100" zoomScaleSheetLayoutView="100" workbookViewId="0">
      <selection activeCell="F8" sqref="F8"/>
    </sheetView>
  </sheetViews>
  <sheetFormatPr defaultRowHeight="20.25" x14ac:dyDescent="0.5"/>
  <cols>
    <col min="1" max="1" width="52" style="463" customWidth="1"/>
    <col min="2" max="2" width="11" style="458" customWidth="1"/>
    <col min="3" max="4" width="21.28515625" style="463" bestFit="1" customWidth="1"/>
    <col min="5" max="5" width="19.7109375" style="463" bestFit="1" customWidth="1"/>
    <col min="6" max="6" width="21.28515625" style="463" bestFit="1" customWidth="1"/>
    <col min="7" max="7" width="19.28515625" style="410" bestFit="1" customWidth="1"/>
    <col min="8" max="8" width="12.28515625" style="463" bestFit="1" customWidth="1"/>
    <col min="9" max="9" width="9.28515625" style="463" bestFit="1" customWidth="1"/>
    <col min="10" max="10" width="12.28515625" style="463" bestFit="1" customWidth="1"/>
    <col min="11" max="11" width="17.140625" style="463" bestFit="1" customWidth="1"/>
    <col min="12" max="12" width="13.7109375" style="463" bestFit="1" customWidth="1"/>
    <col min="13" max="17" width="9.140625" style="463"/>
    <col min="18" max="18" width="12.42578125" style="463" bestFit="1" customWidth="1"/>
    <col min="19" max="16384" width="9.140625" style="463"/>
  </cols>
  <sheetData>
    <row r="1" spans="1:24" s="458" customFormat="1" ht="21.75" customHeight="1" x14ac:dyDescent="0.5">
      <c r="A1" s="537" t="s">
        <v>374</v>
      </c>
      <c r="B1" s="537"/>
      <c r="C1" s="537"/>
      <c r="D1" s="537"/>
      <c r="G1" s="404"/>
    </row>
    <row r="2" spans="1:24" s="458" customFormat="1" ht="21.75" customHeight="1" x14ac:dyDescent="0.5">
      <c r="A2" s="537" t="s">
        <v>431</v>
      </c>
      <c r="B2" s="537"/>
      <c r="C2" s="537"/>
      <c r="D2" s="537"/>
      <c r="G2" s="404"/>
    </row>
    <row r="3" spans="1:24" s="458" customFormat="1" ht="21.75" customHeight="1" x14ac:dyDescent="0.5">
      <c r="A3" s="539" t="s">
        <v>532</v>
      </c>
      <c r="B3" s="539"/>
      <c r="C3" s="539"/>
      <c r="D3" s="539"/>
      <c r="G3" s="404"/>
      <c r="R3" s="459"/>
      <c r="S3" s="459"/>
      <c r="T3" s="459"/>
      <c r="U3" s="459"/>
      <c r="V3" s="459"/>
      <c r="W3" s="459"/>
      <c r="X3" s="459"/>
    </row>
    <row r="4" spans="1:24" ht="21.75" customHeight="1" x14ac:dyDescent="0.5">
      <c r="A4" s="460" t="s">
        <v>133</v>
      </c>
      <c r="B4" s="461" t="s">
        <v>375</v>
      </c>
      <c r="C4" s="462" t="s">
        <v>376</v>
      </c>
      <c r="D4" s="460" t="s">
        <v>377</v>
      </c>
      <c r="R4" s="464"/>
      <c r="S4" s="464"/>
      <c r="T4" s="464"/>
      <c r="U4" s="464"/>
      <c r="V4" s="464"/>
      <c r="W4" s="464"/>
      <c r="X4" s="464"/>
    </row>
    <row r="5" spans="1:24" s="416" customFormat="1" ht="21.75" customHeight="1" x14ac:dyDescent="0.3">
      <c r="A5" s="412" t="s">
        <v>378</v>
      </c>
      <c r="B5" s="413" t="s">
        <v>379</v>
      </c>
      <c r="C5" s="414">
        <f>งบทดลองก่อนปิดบัญชี!C5</f>
        <v>785136.01</v>
      </c>
      <c r="D5" s="415"/>
    </row>
    <row r="6" spans="1:24" s="416" customFormat="1" ht="21.75" customHeight="1" x14ac:dyDescent="0.3">
      <c r="A6" s="412" t="s">
        <v>380</v>
      </c>
      <c r="B6" s="413" t="s">
        <v>379</v>
      </c>
      <c r="C6" s="414">
        <f>งบทดลองก่อนปิดบัญชี!C6</f>
        <v>41515.229999999996</v>
      </c>
      <c r="D6" s="415"/>
    </row>
    <row r="7" spans="1:24" s="416" customFormat="1" ht="21.75" customHeight="1" x14ac:dyDescent="0.3">
      <c r="A7" s="417" t="s">
        <v>381</v>
      </c>
      <c r="B7" s="413" t="s">
        <v>379</v>
      </c>
      <c r="C7" s="414">
        <f>งบทดลองก่อนปิดบัญชี!C7</f>
        <v>5376338.0800000019</v>
      </c>
      <c r="D7" s="415"/>
      <c r="G7" s="418"/>
    </row>
    <row r="8" spans="1:24" s="416" customFormat="1" ht="21.75" customHeight="1" x14ac:dyDescent="0.3">
      <c r="A8" s="417" t="s">
        <v>382</v>
      </c>
      <c r="B8" s="413" t="s">
        <v>379</v>
      </c>
      <c r="C8" s="414">
        <f>งบทดลองก่อนปิดบัญชี!C8</f>
        <v>8748.68</v>
      </c>
      <c r="D8" s="415"/>
      <c r="G8" s="418"/>
    </row>
    <row r="9" spans="1:24" s="416" customFormat="1" ht="21.75" customHeight="1" x14ac:dyDescent="0.3">
      <c r="A9" s="419" t="s">
        <v>383</v>
      </c>
      <c r="B9" s="413" t="s">
        <v>384</v>
      </c>
      <c r="C9" s="414">
        <f>งบทดลองก่อนปิดบัญชี!C9</f>
        <v>15000000</v>
      </c>
      <c r="D9" s="415"/>
      <c r="F9" s="418"/>
      <c r="G9" s="418"/>
    </row>
    <row r="10" spans="1:24" s="416" customFormat="1" ht="21.75" customHeight="1" x14ac:dyDescent="0.3">
      <c r="A10" s="412" t="s">
        <v>385</v>
      </c>
      <c r="B10" s="413" t="s">
        <v>386</v>
      </c>
      <c r="C10" s="414">
        <f>งบทดลองก่อนปิดบัญชี!C10</f>
        <v>954950.44</v>
      </c>
      <c r="D10" s="415"/>
      <c r="F10" s="418"/>
      <c r="G10" s="418"/>
    </row>
    <row r="11" spans="1:24" s="416" customFormat="1" ht="21.75" customHeight="1" x14ac:dyDescent="0.3">
      <c r="A11" s="412" t="s">
        <v>387</v>
      </c>
      <c r="B11" s="413" t="s">
        <v>388</v>
      </c>
      <c r="C11" s="414">
        <f>งบทดลองก่อนปิดบัญชี!C11</f>
        <v>1598015.75</v>
      </c>
      <c r="D11" s="415"/>
      <c r="F11" s="420"/>
      <c r="G11" s="418"/>
    </row>
    <row r="12" spans="1:24" s="416" customFormat="1" ht="21.75" customHeight="1" x14ac:dyDescent="0.3">
      <c r="A12" s="412" t="s">
        <v>454</v>
      </c>
      <c r="B12" s="413" t="s">
        <v>389</v>
      </c>
      <c r="C12" s="414">
        <f>งบทดลองก่อนปิดบัญชี!C12</f>
        <v>491400</v>
      </c>
      <c r="D12" s="421"/>
      <c r="G12" s="418"/>
    </row>
    <row r="13" spans="1:24" s="403" customFormat="1" ht="21.75" customHeight="1" x14ac:dyDescent="0.3">
      <c r="A13" s="412" t="s">
        <v>86</v>
      </c>
      <c r="B13" s="422" t="s">
        <v>390</v>
      </c>
      <c r="C13" s="414">
        <f>งบทดลองก่อนปิดบัญชี!C13</f>
        <v>126.35</v>
      </c>
      <c r="D13" s="423"/>
      <c r="H13" s="404"/>
    </row>
    <row r="14" spans="1:24" s="403" customFormat="1" ht="21.75" customHeight="1" x14ac:dyDescent="0.3">
      <c r="A14" s="412" t="s">
        <v>391</v>
      </c>
      <c r="B14" s="422" t="s">
        <v>392</v>
      </c>
      <c r="C14" s="414">
        <f>งบทดลองก่อนปิดบัญชี!C14</f>
        <v>0</v>
      </c>
      <c r="D14" s="423"/>
      <c r="H14" s="404"/>
    </row>
    <row r="15" spans="1:24" s="403" customFormat="1" ht="21.75" customHeight="1" x14ac:dyDescent="0.3">
      <c r="A15" s="412" t="s">
        <v>4</v>
      </c>
      <c r="B15" s="422" t="s">
        <v>393</v>
      </c>
      <c r="C15" s="414">
        <f>งบทดลองก่อนปิดบัญชี!C15</f>
        <v>0</v>
      </c>
      <c r="D15" s="424"/>
      <c r="E15" s="404"/>
      <c r="F15" s="404"/>
      <c r="G15" s="404"/>
      <c r="H15" s="404"/>
      <c r="I15" s="404"/>
      <c r="J15" s="404"/>
      <c r="K15" s="425"/>
      <c r="L15" s="426"/>
    </row>
    <row r="16" spans="1:24" s="403" customFormat="1" ht="21.75" customHeight="1" x14ac:dyDescent="0.3">
      <c r="A16" s="412" t="s">
        <v>14</v>
      </c>
      <c r="B16" s="422" t="s">
        <v>394</v>
      </c>
      <c r="C16" s="414">
        <f>งบทดลองก่อนปิดบัญชี!C16</f>
        <v>189500</v>
      </c>
      <c r="D16" s="424"/>
      <c r="E16" s="404"/>
      <c r="F16" s="404"/>
      <c r="G16" s="404"/>
      <c r="H16" s="404"/>
      <c r="I16" s="404"/>
      <c r="J16" s="404"/>
      <c r="K16" s="425"/>
      <c r="L16" s="426"/>
    </row>
    <row r="17" spans="1:24" s="403" customFormat="1" ht="21.75" customHeight="1" x14ac:dyDescent="0.3">
      <c r="A17" s="417" t="s">
        <v>395</v>
      </c>
      <c r="B17" s="413" t="s">
        <v>396</v>
      </c>
      <c r="C17" s="427"/>
      <c r="D17" s="423">
        <f>งบทดลองก่อนปิดบัญชี!D17</f>
        <v>388561</v>
      </c>
      <c r="G17" s="404"/>
      <c r="R17" s="405"/>
      <c r="S17" s="405"/>
      <c r="T17" s="405"/>
      <c r="U17" s="405"/>
      <c r="V17" s="405"/>
      <c r="W17" s="405"/>
      <c r="X17" s="405"/>
    </row>
    <row r="18" spans="1:24" s="403" customFormat="1" ht="21.75" customHeight="1" x14ac:dyDescent="0.5">
      <c r="A18" s="417" t="s">
        <v>397</v>
      </c>
      <c r="B18" s="428" t="s">
        <v>398</v>
      </c>
      <c r="C18" s="429"/>
      <c r="D18" s="423">
        <f>งบทดลองก่อนปิดบัญชี!D18</f>
        <v>2632480</v>
      </c>
      <c r="G18" s="404"/>
    </row>
    <row r="19" spans="1:24" s="403" customFormat="1" ht="21.75" customHeight="1" x14ac:dyDescent="0.5">
      <c r="A19" s="412" t="s">
        <v>399</v>
      </c>
      <c r="B19" s="422" t="s">
        <v>400</v>
      </c>
      <c r="C19" s="429"/>
      <c r="D19" s="423">
        <f>งบทดลองก่อนปิดบัญชี!D19</f>
        <v>1637195.7200000002</v>
      </c>
      <c r="E19" s="426"/>
      <c r="F19" s="426"/>
      <c r="G19" s="404"/>
    </row>
    <row r="20" spans="1:24" s="403" customFormat="1" ht="21.75" customHeight="1" x14ac:dyDescent="0.5">
      <c r="A20" s="417" t="s">
        <v>38</v>
      </c>
      <c r="B20" s="428" t="s">
        <v>401</v>
      </c>
      <c r="C20" s="430"/>
      <c r="D20" s="423">
        <f>งบทดลองก่อนปิดบัญชี!D20+หมายเหตุ9!D6-หมายเหตุ9!D8</f>
        <v>10676007.637500003</v>
      </c>
      <c r="G20" s="404"/>
    </row>
    <row r="21" spans="1:24" s="403" customFormat="1" ht="21.75" customHeight="1" x14ac:dyDescent="0.5">
      <c r="A21" s="465" t="s">
        <v>402</v>
      </c>
      <c r="B21" s="466" t="s">
        <v>403</v>
      </c>
      <c r="C21" s="467"/>
      <c r="D21" s="445">
        <f>งบทดลองก่อนปิดบัญชี!D21+หมายเหตุ9!D8</f>
        <v>9111486.182500001</v>
      </c>
      <c r="F21" s="426"/>
      <c r="G21" s="431"/>
    </row>
    <row r="22" spans="1:24" s="458" customFormat="1" ht="21.75" customHeight="1" thickBot="1" x14ac:dyDescent="0.55000000000000004">
      <c r="A22" s="468" t="s">
        <v>420</v>
      </c>
      <c r="B22" s="469"/>
      <c r="C22" s="447">
        <f>SUM(C5:C21)</f>
        <v>24445730.540000003</v>
      </c>
      <c r="D22" s="448">
        <f>SUM(D14:D21)</f>
        <v>24445730.540000007</v>
      </c>
      <c r="E22" s="470"/>
      <c r="F22" s="470"/>
      <c r="G22" s="404"/>
    </row>
    <row r="23" spans="1:24" s="458" customFormat="1" ht="21.75" customHeight="1" thickTop="1" x14ac:dyDescent="0.5">
      <c r="A23" s="468"/>
      <c r="B23" s="471"/>
      <c r="C23" s="450"/>
      <c r="D23" s="450"/>
      <c r="E23" s="470"/>
      <c r="F23" s="470"/>
      <c r="G23" s="404"/>
    </row>
    <row r="24" spans="1:24" s="474" customFormat="1" ht="21.75" customHeight="1" x14ac:dyDescent="0.3">
      <c r="A24" s="472" t="s">
        <v>421</v>
      </c>
      <c r="B24" s="472" t="s">
        <v>422</v>
      </c>
      <c r="C24" s="473"/>
      <c r="D24" s="473"/>
      <c r="G24" s="475"/>
    </row>
    <row r="25" spans="1:24" s="474" customFormat="1" ht="21.75" customHeight="1" x14ac:dyDescent="0.3">
      <c r="A25" s="476" t="s">
        <v>423</v>
      </c>
      <c r="B25" s="472"/>
      <c r="C25" s="472"/>
      <c r="D25" s="473"/>
      <c r="E25" s="477"/>
      <c r="G25" s="454"/>
    </row>
    <row r="26" spans="1:24" s="474" customFormat="1" ht="21.75" customHeight="1" x14ac:dyDescent="0.3">
      <c r="A26" s="472" t="s">
        <v>421</v>
      </c>
      <c r="B26" s="472" t="s">
        <v>424</v>
      </c>
      <c r="C26" s="472"/>
      <c r="D26" s="473"/>
      <c r="G26" s="475"/>
    </row>
    <row r="27" spans="1:24" s="474" customFormat="1" ht="21.75" customHeight="1" x14ac:dyDescent="0.3">
      <c r="A27" s="476" t="s">
        <v>425</v>
      </c>
      <c r="B27" s="472"/>
      <c r="C27" s="472"/>
      <c r="D27" s="473"/>
      <c r="G27" s="454"/>
    </row>
    <row r="28" spans="1:24" s="474" customFormat="1" ht="21.75" customHeight="1" x14ac:dyDescent="0.3">
      <c r="A28" s="472" t="s">
        <v>421</v>
      </c>
      <c r="B28" s="472" t="s">
        <v>426</v>
      </c>
      <c r="C28" s="472"/>
      <c r="D28" s="472"/>
      <c r="G28" s="475"/>
    </row>
    <row r="29" spans="1:24" s="474" customFormat="1" ht="21.75" customHeight="1" x14ac:dyDescent="0.3">
      <c r="A29" s="476" t="s">
        <v>427</v>
      </c>
      <c r="B29" s="472"/>
      <c r="C29" s="472"/>
      <c r="D29" s="472"/>
    </row>
    <row r="30" spans="1:24" s="474" customFormat="1" ht="21.75" customHeight="1" x14ac:dyDescent="0.3">
      <c r="A30" s="472" t="s">
        <v>421</v>
      </c>
      <c r="B30" s="472" t="s">
        <v>428</v>
      </c>
      <c r="C30" s="472"/>
      <c r="D30" s="472"/>
    </row>
    <row r="31" spans="1:24" s="474" customFormat="1" ht="21.75" customHeight="1" x14ac:dyDescent="0.3">
      <c r="A31" s="476" t="s">
        <v>429</v>
      </c>
      <c r="B31" s="472"/>
      <c r="C31" s="472"/>
      <c r="D31" s="472"/>
    </row>
    <row r="32" spans="1:24" s="458" customFormat="1" ht="21.75" customHeight="1" x14ac:dyDescent="0.5">
      <c r="C32" s="478"/>
      <c r="G32" s="478"/>
      <c r="H32" s="455"/>
    </row>
    <row r="33" spans="1:8" s="458" customFormat="1" ht="21.75" customHeight="1" x14ac:dyDescent="0.5">
      <c r="D33" s="478"/>
      <c r="E33" s="478"/>
      <c r="F33" s="479"/>
      <c r="G33" s="478"/>
      <c r="H33" s="404"/>
    </row>
    <row r="34" spans="1:8" s="458" customFormat="1" ht="21.75" customHeight="1" x14ac:dyDescent="0.5">
      <c r="G34" s="404"/>
    </row>
    <row r="35" spans="1:8" s="458" customFormat="1" ht="21.75" customHeight="1" x14ac:dyDescent="0.5">
      <c r="E35" s="470"/>
      <c r="G35" s="404"/>
    </row>
    <row r="36" spans="1:8" ht="21.75" customHeight="1" x14ac:dyDescent="0.5">
      <c r="A36" s="458"/>
      <c r="C36" s="458"/>
      <c r="D36" s="458"/>
    </row>
    <row r="37" spans="1:8" ht="10.5" customHeight="1" x14ac:dyDescent="0.5">
      <c r="A37" s="458"/>
      <c r="C37" s="458"/>
      <c r="D37" s="458"/>
    </row>
    <row r="39" spans="1:8" x14ac:dyDescent="0.5">
      <c r="A39" s="459"/>
      <c r="B39" s="459"/>
      <c r="C39" s="464"/>
      <c r="D39" s="464"/>
    </row>
    <row r="40" spans="1:8" x14ac:dyDescent="0.5">
      <c r="A40" s="459"/>
      <c r="B40" s="459"/>
      <c r="C40" s="459"/>
      <c r="D40" s="459"/>
    </row>
    <row r="41" spans="1:8" x14ac:dyDescent="0.5">
      <c r="B41" s="463"/>
      <c r="C41" s="458"/>
      <c r="D41" s="458"/>
    </row>
    <row r="42" spans="1:8" x14ac:dyDescent="0.5">
      <c r="B42" s="463"/>
      <c r="C42" s="458"/>
      <c r="D42" s="458"/>
    </row>
    <row r="43" spans="1:8" x14ac:dyDescent="0.5">
      <c r="B43" s="463"/>
    </row>
    <row r="55" spans="18:18" x14ac:dyDescent="0.5">
      <c r="R55" s="480"/>
    </row>
    <row r="56" spans="18:18" x14ac:dyDescent="0.5">
      <c r="R56" s="480"/>
    </row>
  </sheetData>
  <mergeCells count="3">
    <mergeCell ref="A1:D1"/>
    <mergeCell ref="A2:D2"/>
    <mergeCell ref="A3:D3"/>
  </mergeCells>
  <pageMargins left="1.1599999999999999" right="0.35" top="0.37" bottom="0.12" header="0.33" footer="0.12"/>
  <pageSetup paperSize="9" scale="77" orientation="portrait" r:id="rId1"/>
  <headerFooter alignWithMargins="0"/>
  <rowBreaks count="1" manualBreakCount="1">
    <brk id="37" max="11" man="1"/>
  </rowBreaks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72"/>
  <sheetViews>
    <sheetView view="pageBreakPreview" zoomScaleNormal="100" zoomScaleSheetLayoutView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B45" sqref="B45"/>
    </sheetView>
  </sheetViews>
  <sheetFormatPr defaultColWidth="16.7109375" defaultRowHeight="21" x14ac:dyDescent="0.35"/>
  <cols>
    <col min="1" max="1" width="48" style="303" customWidth="1"/>
    <col min="2" max="2" width="10.85546875" style="311" bestFit="1" customWidth="1"/>
    <col min="3" max="4" width="16.7109375" style="303"/>
    <col min="5" max="11" width="16.7109375" style="306"/>
    <col min="12" max="16384" width="16.7109375" style="303"/>
  </cols>
  <sheetData>
    <row r="1" spans="1:24" x14ac:dyDescent="0.35">
      <c r="A1" s="540" t="s">
        <v>432</v>
      </c>
      <c r="B1" s="540"/>
      <c r="C1" s="540"/>
      <c r="D1" s="540"/>
      <c r="E1" s="540"/>
      <c r="F1" s="540"/>
      <c r="G1" s="540"/>
      <c r="H1" s="540"/>
      <c r="I1" s="540"/>
      <c r="J1" s="540"/>
      <c r="K1" s="354"/>
    </row>
    <row r="2" spans="1:24" x14ac:dyDescent="0.35">
      <c r="A2" s="541" t="s">
        <v>536</v>
      </c>
      <c r="B2" s="541"/>
      <c r="C2" s="541"/>
      <c r="D2" s="541"/>
      <c r="E2" s="541"/>
      <c r="F2" s="541"/>
      <c r="G2" s="541"/>
      <c r="H2" s="541"/>
      <c r="I2" s="541"/>
      <c r="J2" s="541"/>
      <c r="K2" s="356"/>
      <c r="R2" s="310"/>
      <c r="S2" s="310"/>
      <c r="T2" s="310"/>
      <c r="U2" s="310"/>
      <c r="V2" s="310"/>
      <c r="W2" s="310"/>
      <c r="X2" s="310"/>
    </row>
    <row r="3" spans="1:24" x14ac:dyDescent="0.35">
      <c r="A3" s="542" t="s">
        <v>133</v>
      </c>
      <c r="B3" s="543" t="s">
        <v>375</v>
      </c>
      <c r="C3" s="545" t="s">
        <v>433</v>
      </c>
      <c r="D3" s="545"/>
      <c r="E3" s="546" t="s">
        <v>434</v>
      </c>
      <c r="F3" s="547"/>
      <c r="G3" s="546" t="s">
        <v>435</v>
      </c>
      <c r="H3" s="547"/>
      <c r="I3" s="546" t="s">
        <v>436</v>
      </c>
      <c r="J3" s="547"/>
      <c r="K3" s="304"/>
      <c r="R3" s="310"/>
      <c r="S3" s="310"/>
      <c r="T3" s="310"/>
      <c r="U3" s="310"/>
      <c r="V3" s="310"/>
      <c r="W3" s="310"/>
      <c r="X3" s="310"/>
    </row>
    <row r="4" spans="1:24" x14ac:dyDescent="0.35">
      <c r="A4" s="541"/>
      <c r="B4" s="544"/>
      <c r="C4" s="312" t="s">
        <v>376</v>
      </c>
      <c r="D4" s="313" t="s">
        <v>377</v>
      </c>
      <c r="E4" s="314" t="s">
        <v>376</v>
      </c>
      <c r="F4" s="315" t="s">
        <v>377</v>
      </c>
      <c r="G4" s="314" t="s">
        <v>376</v>
      </c>
      <c r="H4" s="315" t="s">
        <v>377</v>
      </c>
      <c r="I4" s="314" t="s">
        <v>376</v>
      </c>
      <c r="J4" s="315" t="s">
        <v>377</v>
      </c>
      <c r="K4" s="316"/>
      <c r="R4" s="310"/>
      <c r="S4" s="310"/>
      <c r="T4" s="310"/>
      <c r="U4" s="310"/>
      <c r="V4" s="310"/>
      <c r="W4" s="310"/>
      <c r="X4" s="310"/>
    </row>
    <row r="5" spans="1:24" x14ac:dyDescent="0.35">
      <c r="A5" s="373" t="s">
        <v>378</v>
      </c>
      <c r="B5" s="374" t="s">
        <v>379</v>
      </c>
      <c r="C5" s="317">
        <f>[3]ก.ย.!$K$922</f>
        <v>785136.01</v>
      </c>
      <c r="D5" s="375"/>
      <c r="E5" s="318"/>
      <c r="F5" s="318"/>
      <c r="G5" s="318"/>
      <c r="H5" s="318"/>
      <c r="I5" s="318">
        <f>C5+E5-F5+G5-H5</f>
        <v>785136.01</v>
      </c>
      <c r="J5" s="318"/>
      <c r="K5" s="319"/>
      <c r="R5" s="310"/>
      <c r="S5" s="310"/>
      <c r="T5" s="310"/>
      <c r="U5" s="310"/>
      <c r="V5" s="310"/>
      <c r="W5" s="310"/>
      <c r="X5" s="310"/>
    </row>
    <row r="6" spans="1:24" s="305" customFormat="1" x14ac:dyDescent="0.35">
      <c r="A6" s="373" t="s">
        <v>380</v>
      </c>
      <c r="B6" s="374" t="s">
        <v>379</v>
      </c>
      <c r="C6" s="317">
        <f>[3]ก.ย.!$K$924</f>
        <v>41515.229999999996</v>
      </c>
      <c r="D6" s="375"/>
      <c r="E6" s="320"/>
      <c r="F6" s="320"/>
      <c r="G6" s="320"/>
      <c r="H6" s="320"/>
      <c r="I6" s="320">
        <f t="shared" ref="I6:I16" si="0">C6+E6-F6+G6-H6</f>
        <v>41515.229999999996</v>
      </c>
      <c r="J6" s="320"/>
      <c r="K6" s="304"/>
      <c r="L6" s="321"/>
    </row>
    <row r="7" spans="1:24" s="305" customFormat="1" x14ac:dyDescent="0.35">
      <c r="A7" s="376" t="s">
        <v>381</v>
      </c>
      <c r="B7" s="374" t="s">
        <v>379</v>
      </c>
      <c r="C7" s="317">
        <f>[3]ก.ย.!$K$928</f>
        <v>5376338.0800000019</v>
      </c>
      <c r="D7" s="375"/>
      <c r="E7" s="320"/>
      <c r="F7" s="320"/>
      <c r="G7" s="320"/>
      <c r="H7" s="320"/>
      <c r="I7" s="320">
        <f t="shared" si="0"/>
        <v>5376338.0800000019</v>
      </c>
      <c r="J7" s="320"/>
      <c r="K7" s="304"/>
      <c r="L7" s="321"/>
    </row>
    <row r="8" spans="1:24" s="305" customFormat="1" x14ac:dyDescent="0.35">
      <c r="A8" s="376" t="s">
        <v>382</v>
      </c>
      <c r="B8" s="374" t="s">
        <v>379</v>
      </c>
      <c r="C8" s="317">
        <f>[3]ก.ย.!$K$927</f>
        <v>8748.68</v>
      </c>
      <c r="D8" s="375"/>
      <c r="E8" s="320"/>
      <c r="F8" s="320"/>
      <c r="G8" s="320"/>
      <c r="H8" s="320"/>
      <c r="I8" s="320">
        <f t="shared" si="0"/>
        <v>8748.68</v>
      </c>
      <c r="J8" s="320"/>
      <c r="K8" s="304"/>
      <c r="R8" s="357"/>
      <c r="S8" s="357"/>
      <c r="T8" s="357"/>
      <c r="U8" s="357"/>
      <c r="V8" s="357"/>
      <c r="W8" s="357"/>
      <c r="X8" s="357"/>
    </row>
    <row r="9" spans="1:24" s="305" customFormat="1" x14ac:dyDescent="0.35">
      <c r="A9" s="377" t="s">
        <v>383</v>
      </c>
      <c r="B9" s="374" t="s">
        <v>384</v>
      </c>
      <c r="C9" s="317">
        <f>[3]ก.ย.!$K$929</f>
        <v>15000000</v>
      </c>
      <c r="D9" s="375"/>
      <c r="E9" s="320"/>
      <c r="F9" s="320"/>
      <c r="G9" s="320"/>
      <c r="H9" s="320"/>
      <c r="I9" s="320">
        <f t="shared" si="0"/>
        <v>15000000</v>
      </c>
      <c r="J9" s="320"/>
      <c r="K9" s="304"/>
    </row>
    <row r="10" spans="1:24" s="305" customFormat="1" x14ac:dyDescent="0.35">
      <c r="A10" s="373" t="s">
        <v>385</v>
      </c>
      <c r="B10" s="374" t="s">
        <v>386</v>
      </c>
      <c r="C10" s="317">
        <f>[3]ก.ย.!$K$926</f>
        <v>954950.44</v>
      </c>
      <c r="D10" s="375"/>
      <c r="E10" s="320"/>
      <c r="F10" s="320"/>
      <c r="G10" s="320"/>
      <c r="H10" s="320"/>
      <c r="I10" s="320">
        <f t="shared" si="0"/>
        <v>954950.44</v>
      </c>
      <c r="J10" s="320"/>
      <c r="K10" s="304"/>
    </row>
    <row r="11" spans="1:24" s="305" customFormat="1" x14ac:dyDescent="0.35">
      <c r="A11" s="373" t="s">
        <v>387</v>
      </c>
      <c r="B11" s="374" t="s">
        <v>388</v>
      </c>
      <c r="C11" s="317">
        <f>[9]ส.ค.!C11</f>
        <v>1598015.75</v>
      </c>
      <c r="D11" s="375"/>
      <c r="E11" s="320"/>
      <c r="F11" s="320"/>
      <c r="G11" s="320"/>
      <c r="H11" s="320"/>
      <c r="I11" s="320">
        <f t="shared" si="0"/>
        <v>1598015.75</v>
      </c>
      <c r="J11" s="320"/>
      <c r="K11" s="304"/>
      <c r="L11" s="321"/>
    </row>
    <row r="12" spans="1:24" s="305" customFormat="1" x14ac:dyDescent="0.35">
      <c r="A12" s="373" t="s">
        <v>454</v>
      </c>
      <c r="B12" s="374" t="s">
        <v>389</v>
      </c>
      <c r="C12" s="317">
        <f>[9]ส.ค.!C12+461000</f>
        <v>491400</v>
      </c>
      <c r="D12" s="378"/>
      <c r="E12" s="320"/>
      <c r="F12" s="320"/>
      <c r="G12" s="320"/>
      <c r="H12" s="320"/>
      <c r="I12" s="320">
        <f t="shared" si="0"/>
        <v>491400</v>
      </c>
      <c r="J12" s="320"/>
      <c r="K12" s="304"/>
    </row>
    <row r="13" spans="1:24" s="305" customFormat="1" x14ac:dyDescent="0.35">
      <c r="A13" s="373" t="s">
        <v>86</v>
      </c>
      <c r="B13" s="379" t="s">
        <v>390</v>
      </c>
      <c r="C13" s="317">
        <f>[9]ส.ค.!C13-14.25-144.4+126.35</f>
        <v>126.35</v>
      </c>
      <c r="D13" s="324"/>
      <c r="E13" s="320"/>
      <c r="F13" s="320"/>
      <c r="G13" s="320"/>
      <c r="H13" s="320"/>
      <c r="I13" s="320">
        <f t="shared" si="0"/>
        <v>126.35</v>
      </c>
      <c r="J13" s="320"/>
      <c r="K13" s="304"/>
    </row>
    <row r="14" spans="1:24" s="305" customFormat="1" x14ac:dyDescent="0.35">
      <c r="A14" s="373" t="s">
        <v>391</v>
      </c>
      <c r="B14" s="379" t="s">
        <v>392</v>
      </c>
      <c r="C14" s="317">
        <f>[10]ก.ย.!$D$75-[10]ก.ย.!$D$20</f>
        <v>0</v>
      </c>
      <c r="D14" s="324"/>
      <c r="E14" s="320"/>
      <c r="F14" s="320"/>
      <c r="G14" s="320"/>
      <c r="H14" s="320"/>
      <c r="I14" s="320">
        <f t="shared" si="0"/>
        <v>0</v>
      </c>
      <c r="J14" s="320"/>
      <c r="K14" s="304"/>
    </row>
    <row r="15" spans="1:24" s="305" customFormat="1" x14ac:dyDescent="0.35">
      <c r="A15" s="373" t="s">
        <v>4</v>
      </c>
      <c r="B15" s="379" t="s">
        <v>393</v>
      </c>
      <c r="C15" s="317">
        <f>[9]ก.ค.!C15</f>
        <v>0</v>
      </c>
      <c r="D15" s="322"/>
      <c r="E15" s="320"/>
      <c r="F15" s="320"/>
      <c r="G15" s="320"/>
      <c r="H15" s="320"/>
      <c r="I15" s="320">
        <f t="shared" si="0"/>
        <v>0</v>
      </c>
      <c r="J15" s="320"/>
      <c r="K15" s="304"/>
    </row>
    <row r="16" spans="1:24" s="305" customFormat="1" x14ac:dyDescent="0.35">
      <c r="A16" s="373" t="s">
        <v>14</v>
      </c>
      <c r="B16" s="379" t="s">
        <v>394</v>
      </c>
      <c r="C16" s="317">
        <f>[9]ส.ค.!C16</f>
        <v>189500</v>
      </c>
      <c r="D16" s="322"/>
      <c r="E16" s="320"/>
      <c r="F16" s="320"/>
      <c r="G16" s="320"/>
      <c r="H16" s="320"/>
      <c r="I16" s="320">
        <f t="shared" si="0"/>
        <v>189500</v>
      </c>
      <c r="J16" s="320"/>
      <c r="K16" s="304"/>
    </row>
    <row r="17" spans="1:13" s="305" customFormat="1" x14ac:dyDescent="0.35">
      <c r="A17" s="376" t="s">
        <v>395</v>
      </c>
      <c r="B17" s="374" t="s">
        <v>396</v>
      </c>
      <c r="C17" s="323"/>
      <c r="D17" s="324">
        <f>[4]ก.ย.!$E$14</f>
        <v>388561</v>
      </c>
      <c r="E17" s="320"/>
      <c r="F17" s="320"/>
      <c r="G17" s="320"/>
      <c r="H17" s="320"/>
      <c r="I17" s="320"/>
      <c r="J17" s="320">
        <f>D17+F17+H17-C17-E17-G17</f>
        <v>388561</v>
      </c>
      <c r="K17" s="304"/>
    </row>
    <row r="18" spans="1:13" s="305" customFormat="1" x14ac:dyDescent="0.5">
      <c r="A18" s="376" t="s">
        <v>397</v>
      </c>
      <c r="B18" s="380" t="s">
        <v>398</v>
      </c>
      <c r="C18" s="381"/>
      <c r="D18" s="324">
        <f>[4]ก.ย.!$E$25</f>
        <v>2632480</v>
      </c>
      <c r="E18" s="320"/>
      <c r="F18" s="320"/>
      <c r="G18" s="320"/>
      <c r="H18" s="320"/>
      <c r="I18" s="320"/>
      <c r="J18" s="320">
        <f>D18+F18+H18-C18-E18-G18</f>
        <v>2632480</v>
      </c>
      <c r="K18" s="304"/>
    </row>
    <row r="19" spans="1:13" s="305" customFormat="1" x14ac:dyDescent="0.5">
      <c r="A19" s="373" t="s">
        <v>399</v>
      </c>
      <c r="B19" s="379" t="s">
        <v>400</v>
      </c>
      <c r="C19" s="381"/>
      <c r="D19" s="324">
        <f>[4]ก.ย.!$E$16-D17</f>
        <v>1637195.7200000002</v>
      </c>
      <c r="E19" s="320"/>
      <c r="F19" s="320"/>
      <c r="G19" s="320"/>
      <c r="H19" s="320"/>
      <c r="I19" s="320"/>
      <c r="J19" s="320">
        <f>D19+F19+H19-C19-E19-G19</f>
        <v>1637195.7200000002</v>
      </c>
      <c r="K19" s="304"/>
    </row>
    <row r="20" spans="1:13" s="305" customFormat="1" x14ac:dyDescent="0.5">
      <c r="A20" s="376" t="s">
        <v>38</v>
      </c>
      <c r="B20" s="380" t="s">
        <v>401</v>
      </c>
      <c r="C20" s="382"/>
      <c r="D20" s="324">
        <f>[9]ส.ค.!D20+249.36</f>
        <v>10260771.929999998</v>
      </c>
      <c r="E20" s="320"/>
      <c r="F20" s="320">
        <v>415235.71</v>
      </c>
      <c r="G20" s="320"/>
      <c r="H20" s="320"/>
      <c r="I20" s="320"/>
      <c r="J20" s="320">
        <f>D20+F20+H20-C20-E20-G20</f>
        <v>10676007.639999999</v>
      </c>
      <c r="K20" s="304"/>
    </row>
    <row r="21" spans="1:13" s="305" customFormat="1" x14ac:dyDescent="0.5">
      <c r="A21" s="373" t="s">
        <v>402</v>
      </c>
      <c r="B21" s="379" t="s">
        <v>403</v>
      </c>
      <c r="C21" s="323"/>
      <c r="D21" s="324">
        <f>[9]ส.ค.!D21</f>
        <v>8973074.2799999993</v>
      </c>
      <c r="E21" s="320"/>
      <c r="F21" s="320">
        <v>138411.9</v>
      </c>
      <c r="G21" s="320"/>
      <c r="H21" s="320"/>
      <c r="I21" s="320"/>
      <c r="J21" s="320">
        <f>D21+F21+H21-C21-E21-G21</f>
        <v>9111486.1799999997</v>
      </c>
      <c r="K21" s="304"/>
      <c r="L21" s="321"/>
    </row>
    <row r="22" spans="1:13" s="305" customFormat="1" x14ac:dyDescent="0.5">
      <c r="A22" s="373" t="s">
        <v>152</v>
      </c>
      <c r="B22" s="379" t="s">
        <v>404</v>
      </c>
      <c r="C22" s="323"/>
      <c r="D22" s="325">
        <f>[11]ก.ย.!$D$134</f>
        <v>43282635.879999995</v>
      </c>
      <c r="E22" s="320">
        <f>D22</f>
        <v>43282635.879999995</v>
      </c>
      <c r="F22" s="320"/>
      <c r="G22" s="320"/>
      <c r="H22" s="320"/>
      <c r="I22" s="320"/>
      <c r="J22" s="320">
        <f t="shared" ref="J22:J44" si="1">D22+F22+H22-C22-E22-G22</f>
        <v>0</v>
      </c>
      <c r="K22" s="304"/>
    </row>
    <row r="23" spans="1:13" s="305" customFormat="1" x14ac:dyDescent="0.5">
      <c r="A23" s="373" t="s">
        <v>145</v>
      </c>
      <c r="B23" s="379" t="s">
        <v>405</v>
      </c>
      <c r="C23" s="323">
        <f>[10]ก.ย.!$D51</f>
        <v>653125.12</v>
      </c>
      <c r="D23" s="325"/>
      <c r="E23" s="320"/>
      <c r="F23" s="320">
        <f>C23</f>
        <v>653125.12</v>
      </c>
      <c r="G23" s="320"/>
      <c r="H23" s="320"/>
      <c r="I23" s="320"/>
      <c r="J23" s="320">
        <f t="shared" si="1"/>
        <v>0</v>
      </c>
      <c r="K23" s="304"/>
    </row>
    <row r="24" spans="1:13" s="305" customFormat="1" x14ac:dyDescent="0.5">
      <c r="A24" s="373" t="s">
        <v>145</v>
      </c>
      <c r="B24" s="379" t="s">
        <v>406</v>
      </c>
      <c r="C24" s="323">
        <f>[10]ก.ย.!$D52</f>
        <v>8472800</v>
      </c>
      <c r="D24" s="325"/>
      <c r="E24" s="320"/>
      <c r="F24" s="320">
        <f t="shared" ref="F24:F44" si="2">C24</f>
        <v>8472800</v>
      </c>
      <c r="G24" s="320"/>
      <c r="H24" s="320"/>
      <c r="I24" s="320">
        <f t="shared" ref="I24:I44" si="3">C24+E24+G24-D24-F24-H24</f>
        <v>0</v>
      </c>
      <c r="J24" s="320">
        <f t="shared" si="1"/>
        <v>0</v>
      </c>
      <c r="K24" s="304"/>
    </row>
    <row r="25" spans="1:13" s="305" customFormat="1" x14ac:dyDescent="0.5">
      <c r="A25" s="373" t="s">
        <v>147</v>
      </c>
      <c r="B25" s="379" t="s">
        <v>407</v>
      </c>
      <c r="C25" s="323">
        <f>[10]ก.ย.!$D53</f>
        <v>2624640</v>
      </c>
      <c r="D25" s="325"/>
      <c r="E25" s="320"/>
      <c r="F25" s="320">
        <f t="shared" si="2"/>
        <v>2624640</v>
      </c>
      <c r="G25" s="320"/>
      <c r="H25" s="320"/>
      <c r="I25" s="320">
        <f t="shared" si="3"/>
        <v>0</v>
      </c>
      <c r="J25" s="320">
        <f t="shared" si="1"/>
        <v>0</v>
      </c>
      <c r="K25" s="304"/>
    </row>
    <row r="26" spans="1:13" s="305" customFormat="1" x14ac:dyDescent="0.5">
      <c r="A26" s="373" t="s">
        <v>148</v>
      </c>
      <c r="B26" s="380" t="s">
        <v>408</v>
      </c>
      <c r="C26" s="323">
        <f>[10]ก.ย.!$D54</f>
        <v>7939566</v>
      </c>
      <c r="D26" s="325"/>
      <c r="E26" s="320"/>
      <c r="F26" s="320">
        <f t="shared" si="2"/>
        <v>7939566</v>
      </c>
      <c r="G26" s="320"/>
      <c r="H26" s="320"/>
      <c r="I26" s="320">
        <f t="shared" si="3"/>
        <v>0</v>
      </c>
      <c r="J26" s="320">
        <f t="shared" si="1"/>
        <v>0</v>
      </c>
      <c r="K26" s="304"/>
      <c r="L26" s="326"/>
    </row>
    <row r="27" spans="1:13" s="305" customFormat="1" x14ac:dyDescent="0.5">
      <c r="A27" s="373" t="s">
        <v>148</v>
      </c>
      <c r="B27" s="380" t="s">
        <v>409</v>
      </c>
      <c r="C27" s="323">
        <f>[10]ก.ย.!$D55</f>
        <v>2085395</v>
      </c>
      <c r="D27" s="325"/>
      <c r="E27" s="320">
        <f>D27</f>
        <v>0</v>
      </c>
      <c r="F27" s="320">
        <f t="shared" si="2"/>
        <v>2085395</v>
      </c>
      <c r="G27" s="320"/>
      <c r="H27" s="327"/>
      <c r="I27" s="320">
        <f t="shared" si="3"/>
        <v>0</v>
      </c>
      <c r="J27" s="320">
        <f t="shared" si="1"/>
        <v>0</v>
      </c>
      <c r="K27" s="304"/>
      <c r="L27" s="328"/>
    </row>
    <row r="28" spans="1:13" s="305" customFormat="1" x14ac:dyDescent="0.5">
      <c r="A28" s="376" t="s">
        <v>109</v>
      </c>
      <c r="B28" s="380" t="s">
        <v>410</v>
      </c>
      <c r="C28" s="323">
        <f>[10]ก.ย.!$D56</f>
        <v>993687</v>
      </c>
      <c r="D28" s="325"/>
      <c r="E28" s="320"/>
      <c r="F28" s="320">
        <f t="shared" si="2"/>
        <v>993687</v>
      </c>
      <c r="G28" s="320"/>
      <c r="H28" s="320"/>
      <c r="I28" s="320">
        <f t="shared" si="3"/>
        <v>0</v>
      </c>
      <c r="J28" s="320">
        <f t="shared" si="1"/>
        <v>0</v>
      </c>
      <c r="K28" s="304"/>
      <c r="L28" s="326"/>
    </row>
    <row r="29" spans="1:13" s="305" customFormat="1" x14ac:dyDescent="0.5">
      <c r="A29" s="376" t="s">
        <v>109</v>
      </c>
      <c r="B29" s="380" t="s">
        <v>411</v>
      </c>
      <c r="C29" s="323">
        <f>[10]ก.ย.!$D57</f>
        <v>0</v>
      </c>
      <c r="D29" s="325"/>
      <c r="E29" s="320"/>
      <c r="F29" s="320">
        <f t="shared" si="2"/>
        <v>0</v>
      </c>
      <c r="G29" s="320"/>
      <c r="H29" s="320"/>
      <c r="I29" s="320">
        <f t="shared" si="3"/>
        <v>0</v>
      </c>
      <c r="J29" s="320">
        <f t="shared" si="1"/>
        <v>0</v>
      </c>
      <c r="K29" s="304"/>
      <c r="L29" s="328"/>
      <c r="M29" s="328"/>
    </row>
    <row r="30" spans="1:13" s="305" customFormat="1" x14ac:dyDescent="0.5">
      <c r="A30" s="373" t="s">
        <v>112</v>
      </c>
      <c r="B30" s="379" t="s">
        <v>412</v>
      </c>
      <c r="C30" s="323">
        <f>[10]ก.ย.!$D58</f>
        <v>5867394.8700000001</v>
      </c>
      <c r="D30" s="325"/>
      <c r="E30" s="320"/>
      <c r="F30" s="320">
        <f t="shared" si="2"/>
        <v>5867394.8700000001</v>
      </c>
      <c r="G30" s="320"/>
      <c r="H30" s="320"/>
      <c r="I30" s="320">
        <f t="shared" si="3"/>
        <v>0</v>
      </c>
      <c r="J30" s="320">
        <f t="shared" si="1"/>
        <v>0</v>
      </c>
      <c r="K30" s="304"/>
      <c r="L30" s="326"/>
    </row>
    <row r="31" spans="1:13" s="305" customFormat="1" x14ac:dyDescent="0.5">
      <c r="A31" s="373" t="s">
        <v>112</v>
      </c>
      <c r="B31" s="379" t="s">
        <v>413</v>
      </c>
      <c r="C31" s="323">
        <f>[10]ก.ย.!$D59</f>
        <v>1041120</v>
      </c>
      <c r="D31" s="325"/>
      <c r="E31" s="320"/>
      <c r="F31" s="320">
        <f t="shared" si="2"/>
        <v>1041120</v>
      </c>
      <c r="G31" s="320"/>
      <c r="H31" s="320"/>
      <c r="I31" s="320">
        <f t="shared" si="3"/>
        <v>0</v>
      </c>
      <c r="J31" s="320">
        <f t="shared" si="1"/>
        <v>0</v>
      </c>
      <c r="K31" s="304"/>
      <c r="L31" s="328"/>
    </row>
    <row r="32" spans="1:13" s="305" customFormat="1" x14ac:dyDescent="0.5">
      <c r="A32" s="373" t="s">
        <v>110</v>
      </c>
      <c r="B32" s="379" t="s">
        <v>414</v>
      </c>
      <c r="C32" s="323">
        <f>[10]ก.ย.!$D60</f>
        <v>803424.40000000014</v>
      </c>
      <c r="D32" s="325"/>
      <c r="E32" s="320"/>
      <c r="F32" s="320">
        <f t="shared" si="2"/>
        <v>803424.40000000014</v>
      </c>
      <c r="G32" s="320"/>
      <c r="H32" s="320"/>
      <c r="I32" s="320">
        <f t="shared" si="3"/>
        <v>0</v>
      </c>
      <c r="J32" s="320">
        <f t="shared" si="1"/>
        <v>0</v>
      </c>
      <c r="K32" s="304"/>
      <c r="L32" s="328"/>
    </row>
    <row r="33" spans="1:12" s="305" customFormat="1" x14ac:dyDescent="0.5">
      <c r="A33" s="373" t="s">
        <v>110</v>
      </c>
      <c r="B33" s="379" t="s">
        <v>415</v>
      </c>
      <c r="C33" s="323">
        <f>[10]ก.ย.!$D61</f>
        <v>671910.15999999992</v>
      </c>
      <c r="D33" s="325"/>
      <c r="E33" s="320"/>
      <c r="F33" s="320">
        <f t="shared" si="2"/>
        <v>671910.15999999992</v>
      </c>
      <c r="G33" s="320"/>
      <c r="H33" s="320"/>
      <c r="I33" s="320"/>
      <c r="J33" s="320"/>
      <c r="K33" s="304"/>
      <c r="L33" s="328"/>
    </row>
    <row r="34" spans="1:12" s="305" customFormat="1" x14ac:dyDescent="0.5">
      <c r="A34" s="373" t="s">
        <v>149</v>
      </c>
      <c r="B34" s="379" t="s">
        <v>416</v>
      </c>
      <c r="C34" s="323">
        <f>[10]ก.ย.!$D62</f>
        <v>313623.75</v>
      </c>
      <c r="D34" s="325"/>
      <c r="E34" s="320"/>
      <c r="F34" s="320">
        <f t="shared" si="2"/>
        <v>313623.75</v>
      </c>
      <c r="G34" s="320"/>
      <c r="H34" s="320"/>
      <c r="I34" s="320"/>
      <c r="J34" s="320"/>
      <c r="K34" s="304"/>
      <c r="L34" s="328"/>
    </row>
    <row r="35" spans="1:12" s="305" customFormat="1" x14ac:dyDescent="0.5">
      <c r="A35" s="383" t="s">
        <v>149</v>
      </c>
      <c r="B35" s="380" t="s">
        <v>417</v>
      </c>
      <c r="C35" s="323">
        <f>[10]ก.ย.!$D63</f>
        <v>0</v>
      </c>
      <c r="D35" s="325"/>
      <c r="E35" s="320"/>
      <c r="F35" s="320">
        <f t="shared" si="2"/>
        <v>0</v>
      </c>
      <c r="G35" s="320"/>
      <c r="H35" s="320"/>
      <c r="I35" s="320"/>
      <c r="J35" s="320"/>
      <c r="K35" s="304"/>
      <c r="L35" s="328"/>
    </row>
    <row r="36" spans="1:12" s="305" customFormat="1" x14ac:dyDescent="0.5">
      <c r="A36" s="383" t="s">
        <v>418</v>
      </c>
      <c r="B36" s="384">
        <v>541000</v>
      </c>
      <c r="C36" s="323">
        <f>[10]ก.ย.!$D64</f>
        <v>868604</v>
      </c>
      <c r="D36" s="325"/>
      <c r="E36" s="320"/>
      <c r="F36" s="320">
        <f t="shared" si="2"/>
        <v>868604</v>
      </c>
      <c r="G36" s="320"/>
      <c r="H36" s="320"/>
      <c r="I36" s="320"/>
      <c r="J36" s="320"/>
      <c r="K36" s="304"/>
      <c r="L36" s="328"/>
    </row>
    <row r="37" spans="1:12" s="305" customFormat="1" x14ac:dyDescent="0.5">
      <c r="A37" s="383" t="s">
        <v>418</v>
      </c>
      <c r="B37" s="384">
        <v>6541000</v>
      </c>
      <c r="C37" s="323">
        <f>[10]ก.ย.!$D65</f>
        <v>3500</v>
      </c>
      <c r="D37" s="325"/>
      <c r="E37" s="320"/>
      <c r="F37" s="320">
        <f t="shared" si="2"/>
        <v>3500</v>
      </c>
      <c r="G37" s="320"/>
      <c r="H37" s="320"/>
      <c r="I37" s="320"/>
      <c r="J37" s="320"/>
      <c r="K37" s="304"/>
      <c r="L37" s="328"/>
    </row>
    <row r="38" spans="1:12" s="305" customFormat="1" x14ac:dyDescent="0.5">
      <c r="A38" s="383" t="s">
        <v>419</v>
      </c>
      <c r="B38" s="384">
        <v>542000</v>
      </c>
      <c r="C38" s="323">
        <f>[10]ก.ย.!$D66</f>
        <v>7000</v>
      </c>
      <c r="D38" s="325"/>
      <c r="E38" s="320"/>
      <c r="F38" s="320">
        <f t="shared" si="2"/>
        <v>7000</v>
      </c>
      <c r="G38" s="320"/>
      <c r="H38" s="320"/>
      <c r="I38" s="320"/>
      <c r="J38" s="320"/>
      <c r="K38" s="304"/>
      <c r="L38" s="328"/>
    </row>
    <row r="39" spans="1:12" s="305" customFormat="1" x14ac:dyDescent="0.5">
      <c r="A39" s="383" t="s">
        <v>419</v>
      </c>
      <c r="B39" s="384">
        <v>6542000</v>
      </c>
      <c r="C39" s="323">
        <f>[10]ก.ย.!$D67</f>
        <v>2753120</v>
      </c>
      <c r="D39" s="325"/>
      <c r="E39" s="320"/>
      <c r="F39" s="320">
        <f t="shared" si="2"/>
        <v>2753120</v>
      </c>
      <c r="G39" s="320"/>
      <c r="H39" s="320"/>
      <c r="I39" s="320"/>
      <c r="J39" s="320"/>
      <c r="K39" s="304"/>
      <c r="L39" s="328"/>
    </row>
    <row r="40" spans="1:12" s="305" customFormat="1" x14ac:dyDescent="0.5">
      <c r="A40" s="383" t="s">
        <v>111</v>
      </c>
      <c r="B40" s="384">
        <v>551000</v>
      </c>
      <c r="C40" s="323">
        <f>[10]ก.ย.!$D68</f>
        <v>38200</v>
      </c>
      <c r="D40" s="325"/>
      <c r="E40" s="320"/>
      <c r="F40" s="320">
        <f t="shared" si="2"/>
        <v>38200</v>
      </c>
      <c r="G40" s="320"/>
      <c r="H40" s="320"/>
      <c r="I40" s="320"/>
      <c r="J40" s="320"/>
      <c r="K40" s="304"/>
      <c r="L40" s="328"/>
    </row>
    <row r="41" spans="1:12" s="305" customFormat="1" x14ac:dyDescent="0.5">
      <c r="A41" s="385" t="s">
        <v>111</v>
      </c>
      <c r="B41" s="386">
        <v>6551000</v>
      </c>
      <c r="C41" s="323">
        <f>[10]ก.ย.!$D69</f>
        <v>0</v>
      </c>
      <c r="D41" s="325"/>
      <c r="E41" s="320"/>
      <c r="F41" s="320">
        <f t="shared" si="2"/>
        <v>0</v>
      </c>
      <c r="G41" s="320"/>
      <c r="H41" s="320"/>
      <c r="I41" s="320"/>
      <c r="J41" s="320"/>
      <c r="K41" s="304"/>
      <c r="L41" s="328"/>
    </row>
    <row r="42" spans="1:12" s="305" customFormat="1" x14ac:dyDescent="0.5">
      <c r="A42" s="387" t="s">
        <v>117</v>
      </c>
      <c r="B42" s="381">
        <v>561000</v>
      </c>
      <c r="C42" s="323">
        <f>[10]ก.ย.!$D70</f>
        <v>220000</v>
      </c>
      <c r="D42" s="325"/>
      <c r="E42" s="320"/>
      <c r="F42" s="320">
        <f t="shared" si="2"/>
        <v>220000</v>
      </c>
      <c r="G42" s="320"/>
      <c r="H42" s="320"/>
      <c r="I42" s="320">
        <f t="shared" si="3"/>
        <v>0</v>
      </c>
      <c r="J42" s="320">
        <f t="shared" si="1"/>
        <v>0</v>
      </c>
      <c r="K42" s="304"/>
    </row>
    <row r="43" spans="1:12" s="305" customFormat="1" x14ac:dyDescent="0.5">
      <c r="A43" s="387" t="s">
        <v>117</v>
      </c>
      <c r="B43" s="381">
        <v>6561000</v>
      </c>
      <c r="C43" s="323">
        <f>[10]ก.ย.!$D71</f>
        <v>1078000</v>
      </c>
      <c r="D43" s="388"/>
      <c r="E43" s="320"/>
      <c r="F43" s="320">
        <f t="shared" si="2"/>
        <v>1078000</v>
      </c>
      <c r="G43" s="320"/>
      <c r="H43" s="320"/>
      <c r="I43" s="320">
        <f t="shared" si="3"/>
        <v>0</v>
      </c>
      <c r="J43" s="320">
        <f t="shared" si="1"/>
        <v>0</v>
      </c>
      <c r="K43" s="304"/>
      <c r="L43" s="321"/>
    </row>
    <row r="44" spans="1:12" s="305" customFormat="1" x14ac:dyDescent="0.5">
      <c r="A44" s="389" t="s">
        <v>164</v>
      </c>
      <c r="B44" s="390">
        <v>440000</v>
      </c>
      <c r="C44" s="329">
        <f>[10]ก.ย.!$D72</f>
        <v>6293877.9699999997</v>
      </c>
      <c r="D44" s="329"/>
      <c r="E44" s="333"/>
      <c r="F44" s="333">
        <f t="shared" si="2"/>
        <v>6293877.9699999997</v>
      </c>
      <c r="G44" s="333"/>
      <c r="H44" s="333"/>
      <c r="I44" s="333">
        <f t="shared" si="3"/>
        <v>0</v>
      </c>
      <c r="J44" s="333">
        <f t="shared" si="1"/>
        <v>0</v>
      </c>
      <c r="K44" s="304"/>
    </row>
    <row r="45" spans="1:12" ht="21.75" thickBot="1" x14ac:dyDescent="0.4">
      <c r="A45" s="305" t="s">
        <v>420</v>
      </c>
      <c r="B45" s="330"/>
      <c r="C45" s="331">
        <f t="shared" ref="C45:J45" si="4">SUM(C5:C44)</f>
        <v>67174718.810000002</v>
      </c>
      <c r="D45" s="332">
        <f t="shared" si="4"/>
        <v>67174718.810000002</v>
      </c>
      <c r="E45" s="332">
        <f t="shared" si="4"/>
        <v>43282635.879999995</v>
      </c>
      <c r="F45" s="332">
        <f t="shared" si="4"/>
        <v>43282635.879999995</v>
      </c>
      <c r="G45" s="332">
        <f t="shared" si="4"/>
        <v>0</v>
      </c>
      <c r="H45" s="332">
        <f t="shared" si="4"/>
        <v>0</v>
      </c>
      <c r="I45" s="332">
        <f t="shared" si="4"/>
        <v>24445730.540000003</v>
      </c>
      <c r="J45" s="332">
        <f t="shared" si="4"/>
        <v>24445730.539999999</v>
      </c>
    </row>
    <row r="46" spans="1:12" ht="21.75" thickTop="1" x14ac:dyDescent="0.35">
      <c r="A46" s="548"/>
      <c r="B46" s="548"/>
      <c r="C46" s="307"/>
      <c r="D46" s="308"/>
    </row>
    <row r="47" spans="1:12" x14ac:dyDescent="0.35">
      <c r="A47" s="355"/>
      <c r="B47" s="355"/>
      <c r="C47" s="307"/>
      <c r="D47" s="308"/>
    </row>
    <row r="48" spans="1:12" x14ac:dyDescent="0.35">
      <c r="A48" s="355"/>
      <c r="B48" s="355"/>
      <c r="C48" s="307"/>
      <c r="D48" s="308"/>
    </row>
    <row r="49" spans="1:4" x14ac:dyDescent="0.35">
      <c r="A49" s="548"/>
      <c r="B49" s="548"/>
      <c r="C49" s="307"/>
      <c r="D49" s="308"/>
    </row>
    <row r="50" spans="1:4" x14ac:dyDescent="0.35">
      <c r="A50" s="310"/>
      <c r="B50" s="310"/>
      <c r="C50" s="310"/>
      <c r="D50" s="308"/>
    </row>
    <row r="51" spans="1:4" x14ac:dyDescent="0.35">
      <c r="A51" s="310"/>
      <c r="B51" s="307"/>
      <c r="C51" s="310"/>
      <c r="D51" s="309"/>
    </row>
    <row r="52" spans="1:4" x14ac:dyDescent="0.35">
      <c r="A52" s="356"/>
      <c r="B52" s="549"/>
      <c r="C52" s="549"/>
      <c r="D52" s="356"/>
    </row>
    <row r="53" spans="1:4" x14ac:dyDescent="0.35">
      <c r="A53" s="307"/>
      <c r="B53" s="307"/>
      <c r="C53" s="310"/>
      <c r="D53" s="310"/>
    </row>
    <row r="54" spans="1:4" x14ac:dyDescent="0.35">
      <c r="A54" s="357"/>
      <c r="B54" s="550"/>
      <c r="C54" s="550"/>
      <c r="D54" s="357"/>
    </row>
    <row r="55" spans="1:4" x14ac:dyDescent="0.35">
      <c r="A55" s="357"/>
      <c r="B55" s="550"/>
      <c r="C55" s="550"/>
      <c r="D55" s="357"/>
    </row>
    <row r="56" spans="1:4" x14ac:dyDescent="0.35">
      <c r="A56" s="357"/>
      <c r="B56" s="357"/>
      <c r="C56" s="357"/>
      <c r="D56" s="357"/>
    </row>
    <row r="57" spans="1:4" x14ac:dyDescent="0.35">
      <c r="B57" s="303"/>
      <c r="C57" s="311"/>
      <c r="D57" s="311"/>
    </row>
    <row r="58" spans="1:4" x14ac:dyDescent="0.35">
      <c r="B58" s="303"/>
      <c r="C58" s="311"/>
      <c r="D58" s="311"/>
    </row>
    <row r="59" spans="1:4" x14ac:dyDescent="0.35">
      <c r="B59" s="303"/>
    </row>
    <row r="71" spans="18:18" x14ac:dyDescent="0.35">
      <c r="R71" s="391"/>
    </row>
    <row r="72" spans="18:18" x14ac:dyDescent="0.35">
      <c r="R72" s="391"/>
    </row>
  </sheetData>
  <mergeCells count="13">
    <mergeCell ref="A49:B49"/>
    <mergeCell ref="B52:C52"/>
    <mergeCell ref="B54:C54"/>
    <mergeCell ref="B55:C55"/>
    <mergeCell ref="A46:B46"/>
    <mergeCell ref="A1:J1"/>
    <mergeCell ref="A2:J2"/>
    <mergeCell ref="A3:A4"/>
    <mergeCell ref="B3:B4"/>
    <mergeCell ref="C3:D3"/>
    <mergeCell ref="E3:F3"/>
    <mergeCell ref="G3:H3"/>
    <mergeCell ref="I3:J3"/>
  </mergeCells>
  <pageMargins left="0.88" right="0.39" top="0.2" bottom="0.17" header="0.17" footer="0.17"/>
  <pageSetup paperSize="5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7"/>
  <sheetViews>
    <sheetView workbookViewId="0">
      <selection activeCell="K16" sqref="K16"/>
    </sheetView>
  </sheetViews>
  <sheetFormatPr defaultRowHeight="20.25" x14ac:dyDescent="0.3"/>
  <cols>
    <col min="1" max="1" width="7.42578125" style="2" customWidth="1"/>
    <col min="2" max="2" width="4.42578125" style="2" customWidth="1"/>
    <col min="3" max="3" width="11.7109375" style="2" customWidth="1"/>
    <col min="4" max="4" width="11.42578125" style="2" customWidth="1"/>
    <col min="5" max="5" width="13.5703125" style="2" customWidth="1"/>
    <col min="6" max="6" width="11.7109375" style="2" customWidth="1"/>
    <col min="7" max="7" width="28.5703125" style="2" customWidth="1"/>
    <col min="8" max="16384" width="9.140625" style="2"/>
  </cols>
  <sheetData>
    <row r="1" spans="1:7" x14ac:dyDescent="0.3">
      <c r="A1" s="486" t="s">
        <v>0</v>
      </c>
      <c r="B1" s="486"/>
      <c r="C1" s="486"/>
      <c r="D1" s="486"/>
      <c r="E1" s="486"/>
      <c r="F1" s="486"/>
      <c r="G1" s="486"/>
    </row>
    <row r="2" spans="1:7" x14ac:dyDescent="0.3">
      <c r="A2" s="486" t="s">
        <v>68</v>
      </c>
      <c r="B2" s="486"/>
      <c r="C2" s="486"/>
      <c r="D2" s="486"/>
      <c r="E2" s="486"/>
      <c r="F2" s="486"/>
      <c r="G2" s="486"/>
    </row>
    <row r="3" spans="1:7" x14ac:dyDescent="0.3">
      <c r="A3" s="486" t="s">
        <v>458</v>
      </c>
      <c r="B3" s="486"/>
      <c r="C3" s="486"/>
      <c r="D3" s="486"/>
      <c r="E3" s="486"/>
      <c r="F3" s="486"/>
      <c r="G3" s="486"/>
    </row>
    <row r="4" spans="1:7" x14ac:dyDescent="0.3">
      <c r="A4" s="6" t="s">
        <v>253</v>
      </c>
    </row>
    <row r="5" spans="1:7" x14ac:dyDescent="0.3">
      <c r="B5" s="2" t="s">
        <v>272</v>
      </c>
    </row>
    <row r="6" spans="1:7" x14ac:dyDescent="0.3">
      <c r="B6" s="2" t="s">
        <v>271</v>
      </c>
    </row>
    <row r="7" spans="1:7" x14ac:dyDescent="0.3">
      <c r="A7" s="2" t="s">
        <v>260</v>
      </c>
    </row>
    <row r="8" spans="1:7" x14ac:dyDescent="0.3">
      <c r="B8" s="2" t="s">
        <v>273</v>
      </c>
    </row>
    <row r="9" spans="1:7" x14ac:dyDescent="0.3">
      <c r="C9" s="2" t="s">
        <v>261</v>
      </c>
      <c r="D9" s="2" t="s">
        <v>262</v>
      </c>
      <c r="E9" s="2" t="s">
        <v>263</v>
      </c>
    </row>
    <row r="10" spans="1:7" x14ac:dyDescent="0.3">
      <c r="C10" s="2" t="s">
        <v>268</v>
      </c>
      <c r="D10" s="2" t="s">
        <v>262</v>
      </c>
      <c r="E10" s="2" t="s">
        <v>264</v>
      </c>
    </row>
    <row r="11" spans="1:7" x14ac:dyDescent="0.3">
      <c r="C11" s="2" t="s">
        <v>269</v>
      </c>
      <c r="D11" s="2" t="s">
        <v>262</v>
      </c>
      <c r="E11" s="2" t="s">
        <v>265</v>
      </c>
    </row>
    <row r="12" spans="1:7" x14ac:dyDescent="0.3">
      <c r="D12" s="2" t="s">
        <v>262</v>
      </c>
      <c r="E12" s="2" t="s">
        <v>266</v>
      </c>
    </row>
    <row r="13" spans="1:7" x14ac:dyDescent="0.3">
      <c r="C13" s="2" t="s">
        <v>270</v>
      </c>
      <c r="D13" s="2" t="s">
        <v>262</v>
      </c>
      <c r="E13" s="2" t="s">
        <v>267</v>
      </c>
    </row>
    <row r="14" spans="1:7" x14ac:dyDescent="0.3">
      <c r="C14" s="2" t="s">
        <v>287</v>
      </c>
    </row>
    <row r="15" spans="1:7" x14ac:dyDescent="0.3">
      <c r="C15" s="2" t="s">
        <v>288</v>
      </c>
    </row>
    <row r="16" spans="1:7" x14ac:dyDescent="0.3">
      <c r="B16" s="2" t="s">
        <v>274</v>
      </c>
    </row>
    <row r="17" spans="1:7" x14ac:dyDescent="0.3">
      <c r="C17" s="2" t="s">
        <v>275</v>
      </c>
      <c r="D17" s="2" t="s">
        <v>278</v>
      </c>
      <c r="F17" s="2" t="s">
        <v>281</v>
      </c>
      <c r="G17" s="2" t="s">
        <v>284</v>
      </c>
    </row>
    <row r="18" spans="1:7" x14ac:dyDescent="0.3">
      <c r="C18" s="2" t="s">
        <v>276</v>
      </c>
      <c r="D18" s="2" t="s">
        <v>286</v>
      </c>
      <c r="F18" s="2" t="s">
        <v>282</v>
      </c>
      <c r="G18" s="2" t="s">
        <v>280</v>
      </c>
    </row>
    <row r="19" spans="1:7" x14ac:dyDescent="0.3">
      <c r="C19" s="2" t="s">
        <v>277</v>
      </c>
      <c r="D19" s="2" t="s">
        <v>279</v>
      </c>
      <c r="F19" s="2" t="s">
        <v>283</v>
      </c>
      <c r="G19" s="2" t="s">
        <v>285</v>
      </c>
    </row>
    <row r="20" spans="1:7" x14ac:dyDescent="0.3">
      <c r="B20" s="2" t="s">
        <v>543</v>
      </c>
    </row>
    <row r="21" spans="1:7" x14ac:dyDescent="0.3">
      <c r="C21" s="2" t="s">
        <v>542</v>
      </c>
    </row>
    <row r="22" spans="1:7" x14ac:dyDescent="0.3">
      <c r="A22" s="6" t="s">
        <v>254</v>
      </c>
    </row>
    <row r="23" spans="1:7" x14ac:dyDescent="0.3">
      <c r="B23" s="2" t="s">
        <v>255</v>
      </c>
    </row>
    <row r="24" spans="1:7" x14ac:dyDescent="0.3">
      <c r="C24" s="2" t="s">
        <v>256</v>
      </c>
    </row>
    <row r="25" spans="1:7" x14ac:dyDescent="0.3">
      <c r="A25" s="2" t="s">
        <v>257</v>
      </c>
    </row>
    <row r="26" spans="1:7" x14ac:dyDescent="0.3">
      <c r="A26" s="2" t="s">
        <v>258</v>
      </c>
    </row>
    <row r="27" spans="1:7" x14ac:dyDescent="0.3">
      <c r="B27" s="2" t="s">
        <v>259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5"/>
  <sheetViews>
    <sheetView workbookViewId="0">
      <selection activeCell="G30" sqref="G30"/>
    </sheetView>
  </sheetViews>
  <sheetFormatPr defaultRowHeight="20.25" x14ac:dyDescent="0.3"/>
  <cols>
    <col min="1" max="1" width="2.7109375" style="2" customWidth="1"/>
    <col min="2" max="2" width="43.28515625" style="2" customWidth="1"/>
    <col min="3" max="3" width="22.42578125" style="10" customWidth="1"/>
    <col min="4" max="4" width="43.28515625" style="2" customWidth="1"/>
    <col min="5" max="5" width="22.42578125" style="10" customWidth="1"/>
    <col min="6" max="6" width="9.140625" style="2"/>
    <col min="7" max="7" width="15.42578125" style="2" bestFit="1" customWidth="1"/>
    <col min="8" max="16384" width="9.140625" style="2"/>
  </cols>
  <sheetData>
    <row r="1" spans="1:5" ht="27.75" customHeight="1" x14ac:dyDescent="0.4">
      <c r="A1" s="490" t="s">
        <v>0</v>
      </c>
      <c r="B1" s="490"/>
      <c r="C1" s="490"/>
      <c r="D1" s="490"/>
      <c r="E1" s="490"/>
    </row>
    <row r="2" spans="1:5" ht="27.75" customHeight="1" x14ac:dyDescent="0.4">
      <c r="A2" s="490" t="s">
        <v>68</v>
      </c>
      <c r="B2" s="490"/>
      <c r="C2" s="490"/>
      <c r="D2" s="490"/>
      <c r="E2" s="490"/>
    </row>
    <row r="3" spans="1:5" ht="27.75" customHeight="1" x14ac:dyDescent="0.4">
      <c r="A3" s="491" t="s">
        <v>458</v>
      </c>
      <c r="B3" s="491"/>
      <c r="C3" s="491"/>
      <c r="D3" s="491"/>
      <c r="E3" s="491"/>
    </row>
    <row r="4" spans="1:5" ht="27.75" customHeight="1" x14ac:dyDescent="0.3">
      <c r="A4" s="489" t="s">
        <v>69</v>
      </c>
      <c r="B4" s="489"/>
      <c r="C4" s="489"/>
      <c r="D4" s="489"/>
      <c r="E4" s="489"/>
    </row>
    <row r="5" spans="1:5" s="24" customFormat="1" ht="21" customHeight="1" x14ac:dyDescent="0.3">
      <c r="A5" s="492" t="s">
        <v>41</v>
      </c>
      <c r="B5" s="493"/>
      <c r="C5" s="496" t="s">
        <v>367</v>
      </c>
      <c r="D5" s="498" t="s">
        <v>42</v>
      </c>
      <c r="E5" s="499"/>
    </row>
    <row r="6" spans="1:5" s="24" customFormat="1" x14ac:dyDescent="0.3">
      <c r="A6" s="494"/>
      <c r="B6" s="495"/>
      <c r="C6" s="497"/>
      <c r="D6" s="35" t="s">
        <v>43</v>
      </c>
      <c r="E6" s="279" t="s">
        <v>44</v>
      </c>
    </row>
    <row r="7" spans="1:5" s="24" customFormat="1" x14ac:dyDescent="0.3">
      <c r="A7" s="280" t="s">
        <v>45</v>
      </c>
      <c r="B7" s="281"/>
      <c r="C7" s="282"/>
      <c r="D7" s="283" t="s">
        <v>246</v>
      </c>
      <c r="E7" s="284">
        <f>[1]หมายเหตุ2!$E7+25500+16700+120180+14000+53000+7000-3500+165300</f>
        <v>7656287</v>
      </c>
    </row>
    <row r="8" spans="1:5" s="24" customFormat="1" x14ac:dyDescent="0.3">
      <c r="A8" s="285"/>
      <c r="B8" s="286" t="s">
        <v>46</v>
      </c>
      <c r="C8" s="284">
        <f>[1]หมายเหตุ2!$C8+'หมายเหตุประกอบผลการดำเนินงาน1-2'!I46</f>
        <v>13997883</v>
      </c>
      <c r="D8" s="287" t="s">
        <v>247</v>
      </c>
      <c r="E8" s="284">
        <f>[1]หมายเหตุ2!$E8</f>
        <v>8722260</v>
      </c>
    </row>
    <row r="9" spans="1:5" s="24" customFormat="1" x14ac:dyDescent="0.3">
      <c r="A9" s="285"/>
      <c r="B9" s="286" t="s">
        <v>47</v>
      </c>
      <c r="C9" s="284">
        <f>[1]หมายเหตุ2!$C9</f>
        <v>2677000</v>
      </c>
      <c r="D9" s="287" t="s">
        <v>248</v>
      </c>
      <c r="E9" s="284">
        <f>[1]หมายเหตุ2!$E9+3500+104500</f>
        <v>1157852</v>
      </c>
    </row>
    <row r="10" spans="1:5" s="24" customFormat="1" x14ac:dyDescent="0.3">
      <c r="A10" s="285"/>
      <c r="B10" s="286" t="s">
        <v>48</v>
      </c>
      <c r="C10" s="284">
        <f>[1]หมายเหตุ2!$C10</f>
        <v>1180000</v>
      </c>
      <c r="D10" s="287" t="s">
        <v>249</v>
      </c>
      <c r="E10" s="284">
        <f>[1]หมายเหตุ2!$E10</f>
        <v>289500</v>
      </c>
    </row>
    <row r="11" spans="1:5" s="24" customFormat="1" x14ac:dyDescent="0.3">
      <c r="A11" s="288" t="s">
        <v>49</v>
      </c>
      <c r="B11" s="286"/>
      <c r="C11" s="284">
        <f>[1]หมายเหตุ2!$C11</f>
        <v>0</v>
      </c>
      <c r="D11" s="287" t="s">
        <v>250</v>
      </c>
      <c r="E11" s="284">
        <f>[1]หมายเหตุ2!$E11</f>
        <v>0</v>
      </c>
    </row>
    <row r="12" spans="1:5" s="24" customFormat="1" x14ac:dyDescent="0.3">
      <c r="A12" s="285"/>
      <c r="B12" s="286" t="s">
        <v>50</v>
      </c>
      <c r="C12" s="284">
        <f>[1]หมายเหตุ2!$C12+'หมายเหตุประกอบผลการดำเนินงาน1-2'!I5</f>
        <v>2005736</v>
      </c>
      <c r="D12" s="287" t="s">
        <v>251</v>
      </c>
      <c r="E12" s="284">
        <f>[1]หมายเหตุ2!$E12+96000</f>
        <v>11765500</v>
      </c>
    </row>
    <row r="13" spans="1:5" s="24" customFormat="1" x14ac:dyDescent="0.3">
      <c r="A13" s="285"/>
      <c r="B13" s="286" t="s">
        <v>51</v>
      </c>
      <c r="C13" s="284">
        <f>[1]หมายเหตุ2!$C13</f>
        <v>0</v>
      </c>
      <c r="D13" s="2"/>
      <c r="E13" s="284"/>
    </row>
    <row r="14" spans="1:5" s="24" customFormat="1" x14ac:dyDescent="0.3">
      <c r="A14" s="285"/>
      <c r="B14" s="286" t="s">
        <v>52</v>
      </c>
      <c r="C14" s="284">
        <f>[1]หมายเหตุ2!$C14+'หมายเหตุประกอบผลการดำเนินงาน1-2'!I13</f>
        <v>5099900</v>
      </c>
      <c r="D14" s="287"/>
      <c r="E14" s="284"/>
    </row>
    <row r="15" spans="1:5" s="24" customFormat="1" x14ac:dyDescent="0.3">
      <c r="A15" s="285"/>
      <c r="B15" s="286" t="s">
        <v>53</v>
      </c>
      <c r="C15" s="284">
        <f>[1]หมายเหตุ2!$C15+'หมายเหตุประกอบผลการดำเนินงาน1-2'!I28</f>
        <v>485780</v>
      </c>
      <c r="D15" s="2"/>
      <c r="E15" s="284"/>
    </row>
    <row r="16" spans="1:5" s="24" customFormat="1" x14ac:dyDescent="0.3">
      <c r="A16" s="285"/>
      <c r="B16" s="286" t="s">
        <v>54</v>
      </c>
      <c r="C16" s="284">
        <f>[1]หมายเหตุ2!$C16+'หมายเหตุประกอบผลการดำเนินงาน1-2'!I31</f>
        <v>27200</v>
      </c>
      <c r="D16" s="287"/>
      <c r="E16" s="284"/>
    </row>
    <row r="17" spans="1:7" s="24" customFormat="1" x14ac:dyDescent="0.3">
      <c r="A17" s="285"/>
      <c r="B17" s="286" t="s">
        <v>55</v>
      </c>
      <c r="C17" s="284">
        <f>[1]หมายเหตุ2!$C17+'หมายเหตุประกอบผลการดำเนินงาน1-2'!I25</f>
        <v>2390105</v>
      </c>
      <c r="D17" s="2"/>
      <c r="E17" s="287"/>
    </row>
    <row r="18" spans="1:7" s="24" customFormat="1" x14ac:dyDescent="0.3">
      <c r="A18" s="285"/>
      <c r="B18" s="286" t="s">
        <v>56</v>
      </c>
      <c r="C18" s="284">
        <f>[1]หมายเหตุ2!$C18</f>
        <v>79620</v>
      </c>
      <c r="D18" s="287"/>
      <c r="E18" s="284"/>
    </row>
    <row r="19" spans="1:7" s="24" customFormat="1" x14ac:dyDescent="0.3">
      <c r="A19" s="285"/>
      <c r="B19" s="286" t="s">
        <v>57</v>
      </c>
      <c r="C19" s="284">
        <f>[1]หมายเหตุ2!$C19</f>
        <v>88350</v>
      </c>
      <c r="D19" s="287"/>
      <c r="E19" s="284"/>
    </row>
    <row r="20" spans="1:7" s="24" customFormat="1" x14ac:dyDescent="0.3">
      <c r="A20" s="285"/>
      <c r="B20" s="286" t="s">
        <v>58</v>
      </c>
      <c r="C20" s="284">
        <f>[1]หมายเหตุ2!$C20</f>
        <v>20455</v>
      </c>
      <c r="D20" s="287"/>
      <c r="E20" s="284"/>
    </row>
    <row r="21" spans="1:7" s="24" customFormat="1" x14ac:dyDescent="0.3">
      <c r="A21" s="285"/>
      <c r="B21" s="286" t="s">
        <v>59</v>
      </c>
      <c r="C21" s="284">
        <f>[1]หมายเหตุ2!$C21</f>
        <v>25180</v>
      </c>
      <c r="D21" s="287"/>
      <c r="E21" s="284"/>
    </row>
    <row r="22" spans="1:7" s="24" customFormat="1" x14ac:dyDescent="0.3">
      <c r="A22" s="285"/>
      <c r="B22" s="286" t="s">
        <v>60</v>
      </c>
      <c r="C22" s="284">
        <f>[1]หมายเหตุ2!$C22</f>
        <v>15000</v>
      </c>
      <c r="D22" s="287"/>
      <c r="E22" s="284"/>
    </row>
    <row r="23" spans="1:7" s="24" customFormat="1" x14ac:dyDescent="0.3">
      <c r="A23" s="285"/>
      <c r="B23" s="286" t="s">
        <v>61</v>
      </c>
      <c r="C23" s="284">
        <f>[1]หมายเหตุ2!$C23</f>
        <v>0</v>
      </c>
      <c r="D23" s="287"/>
      <c r="E23" s="284"/>
    </row>
    <row r="24" spans="1:7" s="24" customFormat="1" x14ac:dyDescent="0.3">
      <c r="A24" s="285"/>
      <c r="B24" s="286" t="s">
        <v>62</v>
      </c>
      <c r="C24" s="284">
        <f>[1]หมายเหตุ2!$C24</f>
        <v>42500</v>
      </c>
      <c r="D24" s="287"/>
      <c r="E24" s="284"/>
    </row>
    <row r="25" spans="1:7" s="24" customFormat="1" x14ac:dyDescent="0.3">
      <c r="A25" s="285"/>
      <c r="B25" s="286" t="s">
        <v>63</v>
      </c>
      <c r="C25" s="284">
        <f>[1]หมายเหตุ2!$C25</f>
        <v>0</v>
      </c>
      <c r="D25" s="287"/>
      <c r="E25" s="284"/>
    </row>
    <row r="26" spans="1:7" s="24" customFormat="1" x14ac:dyDescent="0.3">
      <c r="A26" s="285"/>
      <c r="B26" s="286" t="s">
        <v>64</v>
      </c>
      <c r="C26" s="284">
        <f>[1]หมายเหตุ2!$C26</f>
        <v>0</v>
      </c>
      <c r="D26" s="287"/>
      <c r="E26" s="284"/>
    </row>
    <row r="27" spans="1:7" s="24" customFormat="1" x14ac:dyDescent="0.3">
      <c r="A27" s="285"/>
      <c r="B27" s="286" t="s">
        <v>65</v>
      </c>
      <c r="C27" s="284">
        <f>[1]หมายเหตุ2!$C27+'หมายเหตุประกอบผลการดำเนินงาน1-2'!I16+'หมายเหตุประกอบผลการดำเนินงาน1-2'!R5</f>
        <v>998010</v>
      </c>
      <c r="D27" s="287"/>
      <c r="E27" s="284"/>
    </row>
    <row r="28" spans="1:7" s="24" customFormat="1" x14ac:dyDescent="0.3">
      <c r="A28" s="285"/>
      <c r="B28" s="286" t="s">
        <v>245</v>
      </c>
      <c r="C28" s="284">
        <f>[1]หมายเหตุ2!$C28</f>
        <v>458680</v>
      </c>
      <c r="D28" s="287"/>
      <c r="E28" s="284"/>
    </row>
    <row r="29" spans="1:7" s="24" customFormat="1" x14ac:dyDescent="0.3">
      <c r="A29" s="285"/>
      <c r="B29" s="286" t="s">
        <v>66</v>
      </c>
      <c r="C29" s="284">
        <f>[1]หมายเหตุ2!$C29</f>
        <v>0</v>
      </c>
      <c r="D29" s="289"/>
      <c r="E29" s="290"/>
    </row>
    <row r="30" spans="1:7" s="24" customFormat="1" ht="23.25" customHeight="1" x14ac:dyDescent="0.3">
      <c r="A30" s="487" t="s">
        <v>67</v>
      </c>
      <c r="B30" s="488"/>
      <c r="C30" s="291">
        <f>SUM(C8:C29)</f>
        <v>29591399</v>
      </c>
      <c r="D30" s="292"/>
      <c r="E30" s="291">
        <f>SUM(E7:E18)</f>
        <v>29591399</v>
      </c>
      <c r="G30" s="208"/>
    </row>
    <row r="31" spans="1:7" s="24" customFormat="1" ht="23.25" customHeight="1" x14ac:dyDescent="0.3">
      <c r="A31" s="293"/>
      <c r="B31" s="293"/>
      <c r="C31" s="26"/>
      <c r="D31" s="14"/>
      <c r="E31" s="26"/>
      <c r="G31" s="347"/>
    </row>
    <row r="32" spans="1:7" s="24" customFormat="1" ht="23.25" customHeight="1" x14ac:dyDescent="0.3">
      <c r="A32" s="293"/>
      <c r="B32" s="294" t="s">
        <v>369</v>
      </c>
      <c r="C32" s="26"/>
      <c r="D32" s="14"/>
      <c r="E32" s="26"/>
    </row>
    <row r="33" spans="1:4" s="2" customFormat="1" x14ac:dyDescent="0.3">
      <c r="A33" s="2" t="s">
        <v>370</v>
      </c>
      <c r="C33" s="10"/>
    </row>
    <row r="34" spans="1:4" s="2" customFormat="1" x14ac:dyDescent="0.3">
      <c r="B34" s="7"/>
      <c r="C34" s="25"/>
      <c r="D34" s="7"/>
    </row>
    <row r="35" spans="1:4" s="10" customFormat="1" x14ac:dyDescent="0.3">
      <c r="A35" s="2"/>
      <c r="B35" s="7"/>
      <c r="C35" s="25"/>
      <c r="D35" s="7"/>
    </row>
  </sheetData>
  <mergeCells count="8">
    <mergeCell ref="A30:B30"/>
    <mergeCell ref="A4:E4"/>
    <mergeCell ref="A1:E1"/>
    <mergeCell ref="A2:E2"/>
    <mergeCell ref="A3:E3"/>
    <mergeCell ref="A5:B6"/>
    <mergeCell ref="C5:C6"/>
    <mergeCell ref="D5:E5"/>
  </mergeCells>
  <pageMargins left="0.70866141732283472" right="0.39370078740157483" top="0.78740157480314965" bottom="0.43307086614173229" header="0.31496062992125984" footer="0.31496062992125984"/>
  <pageSetup paperSize="9" scale="7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29"/>
  <sheetViews>
    <sheetView topLeftCell="A18" workbookViewId="0">
      <selection activeCell="J25" sqref="J25"/>
    </sheetView>
  </sheetViews>
  <sheetFormatPr defaultRowHeight="20.25" x14ac:dyDescent="0.3"/>
  <cols>
    <col min="1" max="1" width="9.140625" style="2" customWidth="1"/>
    <col min="2" max="2" width="15.7109375" style="2" customWidth="1"/>
    <col min="3" max="3" width="8.42578125" style="2" customWidth="1"/>
    <col min="4" max="4" width="18.7109375" style="2" customWidth="1"/>
    <col min="5" max="5" width="7.5703125" style="2" customWidth="1"/>
    <col min="6" max="7" width="21.7109375" style="2" customWidth="1"/>
    <col min="8" max="8" width="20.7109375" style="2" customWidth="1"/>
    <col min="9" max="9" width="22.140625" style="10" customWidth="1"/>
    <col min="10" max="16384" width="9.140625" style="2"/>
  </cols>
  <sheetData>
    <row r="1" spans="1:9" ht="27.75" customHeight="1" x14ac:dyDescent="0.4">
      <c r="A1" s="490" t="s">
        <v>0</v>
      </c>
      <c r="B1" s="490"/>
      <c r="C1" s="490"/>
      <c r="D1" s="490"/>
      <c r="E1" s="490"/>
      <c r="F1" s="490"/>
      <c r="G1" s="490"/>
      <c r="I1" s="2"/>
    </row>
    <row r="2" spans="1:9" ht="27.75" customHeight="1" x14ac:dyDescent="0.4">
      <c r="A2" s="490" t="s">
        <v>68</v>
      </c>
      <c r="B2" s="490"/>
      <c r="C2" s="490"/>
      <c r="D2" s="490"/>
      <c r="E2" s="490"/>
      <c r="F2" s="490"/>
      <c r="G2" s="490"/>
      <c r="I2" s="2"/>
    </row>
    <row r="3" spans="1:9" ht="27.75" customHeight="1" x14ac:dyDescent="0.4">
      <c r="A3" s="490" t="s">
        <v>458</v>
      </c>
      <c r="B3" s="490"/>
      <c r="C3" s="490"/>
      <c r="D3" s="490"/>
      <c r="E3" s="490"/>
      <c r="F3" s="490"/>
      <c r="G3" s="490"/>
      <c r="I3" s="2"/>
    </row>
    <row r="4" spans="1:9" x14ac:dyDescent="0.3">
      <c r="A4" s="6" t="s">
        <v>74</v>
      </c>
    </row>
    <row r="5" spans="1:9" x14ac:dyDescent="0.3">
      <c r="B5" s="2" t="s">
        <v>70</v>
      </c>
      <c r="G5" s="10">
        <f>[2]ก.ย.!$K$869</f>
        <v>0</v>
      </c>
    </row>
    <row r="6" spans="1:9" x14ac:dyDescent="0.3">
      <c r="B6" s="2" t="s">
        <v>71</v>
      </c>
      <c r="C6" s="2" t="s">
        <v>75</v>
      </c>
      <c r="D6" s="2" t="s">
        <v>72</v>
      </c>
      <c r="E6" s="2" t="s">
        <v>76</v>
      </c>
      <c r="F6" s="2" t="s">
        <v>77</v>
      </c>
      <c r="G6" s="10">
        <f>[3]ก.ย.!$K$922</f>
        <v>785136.01</v>
      </c>
    </row>
    <row r="7" spans="1:9" x14ac:dyDescent="0.3">
      <c r="D7" s="2" t="s">
        <v>72</v>
      </c>
      <c r="E7" s="2" t="s">
        <v>76</v>
      </c>
      <c r="F7" s="86">
        <v>20068268842</v>
      </c>
      <c r="G7" s="10">
        <f>[3]ก.ย.!$K$924</f>
        <v>41515.229999999996</v>
      </c>
    </row>
    <row r="8" spans="1:9" x14ac:dyDescent="0.3">
      <c r="C8" s="2" t="s">
        <v>78</v>
      </c>
      <c r="D8" s="2" t="s">
        <v>72</v>
      </c>
      <c r="E8" s="2" t="s">
        <v>76</v>
      </c>
      <c r="F8" s="2" t="s">
        <v>79</v>
      </c>
      <c r="G8" s="10">
        <f>[3]ก.ย.!$K$927</f>
        <v>8748.68</v>
      </c>
      <c r="H8" s="13"/>
      <c r="I8" s="9"/>
    </row>
    <row r="9" spans="1:9" x14ac:dyDescent="0.3">
      <c r="D9" s="2" t="s">
        <v>72</v>
      </c>
      <c r="E9" s="2" t="s">
        <v>76</v>
      </c>
      <c r="F9" s="2" t="s">
        <v>80</v>
      </c>
      <c r="G9" s="10">
        <f>[3]ก.ย.!$K$928</f>
        <v>5376338.0800000019</v>
      </c>
      <c r="H9" s="9"/>
      <c r="I9" s="26"/>
    </row>
    <row r="10" spans="1:9" x14ac:dyDescent="0.3">
      <c r="D10" s="2" t="s">
        <v>73</v>
      </c>
      <c r="E10" s="2" t="s">
        <v>76</v>
      </c>
      <c r="F10" s="2" t="s">
        <v>81</v>
      </c>
      <c r="G10" s="10">
        <f>[3]ก.ย.!$K$929</f>
        <v>15000000</v>
      </c>
      <c r="H10" s="9"/>
      <c r="I10" s="26"/>
    </row>
    <row r="11" spans="1:9" x14ac:dyDescent="0.3">
      <c r="D11" s="2" t="s">
        <v>82</v>
      </c>
      <c r="E11" s="2" t="s">
        <v>76</v>
      </c>
      <c r="F11" s="2" t="s">
        <v>83</v>
      </c>
      <c r="G11" s="10">
        <f>[3]ก.ย.!$K$926</f>
        <v>954950.44</v>
      </c>
      <c r="H11" s="13"/>
      <c r="I11" s="9"/>
    </row>
    <row r="12" spans="1:9" x14ac:dyDescent="0.3">
      <c r="E12" s="27"/>
      <c r="G12" s="10"/>
      <c r="H12" s="9"/>
      <c r="I12" s="9"/>
    </row>
    <row r="13" spans="1:9" ht="21" thickBot="1" x14ac:dyDescent="0.35">
      <c r="B13" s="6" t="s">
        <v>67</v>
      </c>
      <c r="C13" s="28"/>
      <c r="D13" s="6"/>
      <c r="E13" s="28"/>
      <c r="F13" s="6"/>
      <c r="G13" s="29">
        <f>SUM(G5:G12)</f>
        <v>22166688.440000001</v>
      </c>
      <c r="H13" s="9"/>
      <c r="I13" s="9"/>
    </row>
    <row r="14" spans="1:9" ht="21" thickTop="1" x14ac:dyDescent="0.3">
      <c r="E14" s="27"/>
      <c r="H14" s="9"/>
      <c r="I14" s="26"/>
    </row>
    <row r="15" spans="1:9" s="55" customFormat="1" x14ac:dyDescent="0.3">
      <c r="A15" s="78" t="s">
        <v>452</v>
      </c>
      <c r="E15" s="27"/>
      <c r="H15" s="349"/>
      <c r="I15" s="84"/>
    </row>
    <row r="16" spans="1:9" s="55" customFormat="1" x14ac:dyDescent="0.3">
      <c r="B16" s="55" t="s">
        <v>453</v>
      </c>
      <c r="G16" s="77">
        <v>30400</v>
      </c>
      <c r="H16" s="350"/>
      <c r="I16" s="349"/>
    </row>
    <row r="17" spans="1:9" s="55" customFormat="1" x14ac:dyDescent="0.3">
      <c r="B17" s="55" t="s">
        <v>459</v>
      </c>
      <c r="G17" s="77">
        <v>461000</v>
      </c>
      <c r="H17" s="350"/>
      <c r="I17" s="84"/>
    </row>
    <row r="18" spans="1:9" s="55" customFormat="1" x14ac:dyDescent="0.3">
      <c r="G18" s="77">
        <v>0</v>
      </c>
      <c r="I18" s="77"/>
    </row>
    <row r="19" spans="1:9" s="55" customFormat="1" x14ac:dyDescent="0.3">
      <c r="G19" s="77"/>
      <c r="I19" s="77"/>
    </row>
    <row r="20" spans="1:9" s="55" customFormat="1" ht="21" thickBot="1" x14ac:dyDescent="0.35">
      <c r="B20" s="78" t="s">
        <v>67</v>
      </c>
      <c r="C20" s="78"/>
      <c r="D20" s="78"/>
      <c r="E20" s="78"/>
      <c r="F20" s="78"/>
      <c r="G20" s="82">
        <f>SUM(G16:G19)</f>
        <v>491400</v>
      </c>
      <c r="I20" s="77"/>
    </row>
    <row r="21" spans="1:9" ht="21" thickTop="1" x14ac:dyDescent="0.3"/>
    <row r="22" spans="1:9" x14ac:dyDescent="0.3">
      <c r="A22" s="6" t="s">
        <v>84</v>
      </c>
    </row>
    <row r="24" spans="1:9" x14ac:dyDescent="0.3">
      <c r="B24" s="30" t="s">
        <v>85</v>
      </c>
      <c r="C24" s="31"/>
      <c r="D24" s="32" t="s">
        <v>87</v>
      </c>
      <c r="E24" s="33"/>
      <c r="F24" s="34" t="s">
        <v>88</v>
      </c>
      <c r="G24" s="35" t="s">
        <v>44</v>
      </c>
    </row>
    <row r="25" spans="1:9" x14ac:dyDescent="0.3">
      <c r="B25" s="36" t="s">
        <v>86</v>
      </c>
      <c r="C25" s="13"/>
      <c r="D25" s="36">
        <v>2560</v>
      </c>
      <c r="E25" s="37"/>
      <c r="F25" s="5">
        <v>3</v>
      </c>
      <c r="G25" s="87">
        <v>126.35</v>
      </c>
    </row>
    <row r="26" spans="1:9" x14ac:dyDescent="0.3">
      <c r="B26" s="36"/>
      <c r="C26" s="13"/>
      <c r="D26" s="36"/>
      <c r="E26" s="37"/>
      <c r="F26" s="5"/>
      <c r="G26" s="87"/>
    </row>
    <row r="27" spans="1:9" x14ac:dyDescent="0.3">
      <c r="B27" s="36"/>
      <c r="C27" s="13"/>
      <c r="D27" s="36"/>
      <c r="E27" s="37"/>
      <c r="F27" s="5"/>
      <c r="G27" s="87"/>
    </row>
    <row r="28" spans="1:9" x14ac:dyDescent="0.3">
      <c r="B28" s="38" t="s">
        <v>67</v>
      </c>
      <c r="C28" s="39"/>
      <c r="D28" s="38"/>
      <c r="E28" s="40"/>
      <c r="F28" s="39"/>
      <c r="G28" s="88">
        <f>SUM(G25:G27)</f>
        <v>126.35</v>
      </c>
    </row>
    <row r="29" spans="1:9" x14ac:dyDescent="0.3">
      <c r="B29" s="41" t="s">
        <v>89</v>
      </c>
      <c r="C29" s="42"/>
      <c r="D29" s="41"/>
      <c r="E29" s="43"/>
      <c r="F29" s="42"/>
      <c r="G29" s="89">
        <f>SUM(G28)</f>
        <v>126.35</v>
      </c>
    </row>
  </sheetData>
  <mergeCells count="3">
    <mergeCell ref="A1:G1"/>
    <mergeCell ref="A2:G2"/>
    <mergeCell ref="A3:G3"/>
  </mergeCells>
  <pageMargins left="0.49" right="0.15" top="0.6" bottom="0.38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35"/>
  <sheetViews>
    <sheetView topLeftCell="A5" zoomScale="136" zoomScaleNormal="136" workbookViewId="0">
      <pane xSplit="1" ySplit="2" topLeftCell="F108" activePane="bottomRight" state="frozen"/>
      <selection activeCell="A5" sqref="A5"/>
      <selection pane="topRight" activeCell="B5" sqref="B5"/>
      <selection pane="bottomLeft" activeCell="A7" sqref="A7"/>
      <selection pane="bottomRight" activeCell="T115" sqref="T115"/>
    </sheetView>
  </sheetViews>
  <sheetFormatPr defaultRowHeight="15.75" x14ac:dyDescent="0.25"/>
  <cols>
    <col min="1" max="1" width="3.140625" style="151" customWidth="1"/>
    <col min="2" max="2" width="4.42578125" style="152" customWidth="1"/>
    <col min="3" max="3" width="7.42578125" style="92" customWidth="1"/>
    <col min="4" max="4" width="17.7109375" style="92" customWidth="1"/>
    <col min="5" max="5" width="2.5703125" style="92" customWidth="1"/>
    <col min="6" max="6" width="14.28515625" style="92" customWidth="1"/>
    <col min="7" max="7" width="10" style="153" customWidth="1"/>
    <col min="8" max="8" width="2.85546875" style="92" customWidth="1"/>
    <col min="9" max="9" width="9" style="92" customWidth="1"/>
    <col min="10" max="10" width="11.7109375" style="150" customWidth="1"/>
    <col min="11" max="12" width="5.5703125" style="151" customWidth="1"/>
    <col min="13" max="13" width="8.5703125" style="151" customWidth="1"/>
    <col min="14" max="14" width="11.140625" style="156" customWidth="1"/>
    <col min="15" max="15" width="7.28515625" style="156" customWidth="1"/>
    <col min="16" max="16" width="11.140625" style="156" customWidth="1"/>
    <col min="17" max="17" width="12.42578125" style="156" customWidth="1"/>
    <col min="18" max="20" width="10.85546875" style="92" bestFit="1" customWidth="1"/>
    <col min="21" max="16384" width="9.140625" style="92"/>
  </cols>
  <sheetData>
    <row r="1" spans="1:21" ht="16.5" customHeight="1" x14ac:dyDescent="0.25">
      <c r="A1" s="500" t="s">
        <v>173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21" ht="16.5" customHeight="1" x14ac:dyDescent="0.25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21" ht="16.5" customHeight="1" x14ac:dyDescent="0.3">
      <c r="A3" s="501" t="s">
        <v>460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</row>
    <row r="4" spans="1:21" ht="16.5" customHeight="1" x14ac:dyDescent="0.25">
      <c r="A4" s="93" t="s">
        <v>243</v>
      </c>
      <c r="B4" s="94"/>
      <c r="C4" s="95"/>
      <c r="D4" s="95"/>
      <c r="E4" s="95"/>
      <c r="F4" s="95"/>
      <c r="G4" s="95"/>
      <c r="H4" s="94"/>
      <c r="I4" s="95"/>
      <c r="J4" s="95"/>
      <c r="K4" s="95"/>
      <c r="L4" s="95"/>
      <c r="M4" s="95"/>
      <c r="N4" s="96"/>
      <c r="O4" s="96"/>
      <c r="P4" s="96"/>
      <c r="Q4" s="96"/>
    </row>
    <row r="5" spans="1:21" x14ac:dyDescent="0.25">
      <c r="A5" s="502" t="s">
        <v>174</v>
      </c>
      <c r="B5" s="503" t="s">
        <v>175</v>
      </c>
      <c r="C5" s="502" t="s">
        <v>176</v>
      </c>
      <c r="D5" s="502" t="s">
        <v>177</v>
      </c>
      <c r="E5" s="502" t="s">
        <v>178</v>
      </c>
      <c r="F5" s="502" t="s">
        <v>177</v>
      </c>
      <c r="G5" s="505" t="s">
        <v>179</v>
      </c>
      <c r="H5" s="503" t="s">
        <v>180</v>
      </c>
      <c r="I5" s="502" t="s">
        <v>181</v>
      </c>
      <c r="J5" s="507" t="s">
        <v>44</v>
      </c>
      <c r="K5" s="508" t="s">
        <v>182</v>
      </c>
      <c r="L5" s="509"/>
      <c r="M5" s="509"/>
      <c r="N5" s="509"/>
      <c r="O5" s="510"/>
      <c r="P5" s="511" t="s">
        <v>89</v>
      </c>
      <c r="Q5" s="512"/>
    </row>
    <row r="6" spans="1:21" s="99" customFormat="1" x14ac:dyDescent="0.25">
      <c r="A6" s="502"/>
      <c r="B6" s="504"/>
      <c r="C6" s="502"/>
      <c r="D6" s="502"/>
      <c r="E6" s="502"/>
      <c r="F6" s="502"/>
      <c r="G6" s="505"/>
      <c r="H6" s="506"/>
      <c r="I6" s="502"/>
      <c r="J6" s="507"/>
      <c r="K6" s="97" t="s">
        <v>183</v>
      </c>
      <c r="L6" s="97" t="s">
        <v>76</v>
      </c>
      <c r="M6" s="97" t="s">
        <v>184</v>
      </c>
      <c r="N6" s="98" t="s">
        <v>44</v>
      </c>
      <c r="O6" s="98" t="s">
        <v>185</v>
      </c>
      <c r="P6" s="98" t="s">
        <v>186</v>
      </c>
      <c r="Q6" s="98" t="s">
        <v>187</v>
      </c>
    </row>
    <row r="7" spans="1:21" s="99" customFormat="1" x14ac:dyDescent="0.25">
      <c r="A7" s="97">
        <v>1</v>
      </c>
      <c r="B7" s="100" t="s">
        <v>192</v>
      </c>
      <c r="C7" s="101" t="s">
        <v>191</v>
      </c>
      <c r="D7" s="101" t="s">
        <v>193</v>
      </c>
      <c r="E7" s="101">
        <v>2</v>
      </c>
      <c r="F7" s="102"/>
      <c r="G7" s="103">
        <v>20000</v>
      </c>
      <c r="H7" s="102">
        <v>1</v>
      </c>
      <c r="I7" s="104">
        <v>16321</v>
      </c>
      <c r="J7" s="105">
        <v>5000</v>
      </c>
      <c r="K7" s="98" t="s">
        <v>188</v>
      </c>
      <c r="L7" s="97">
        <v>28</v>
      </c>
      <c r="M7" s="101" t="s">
        <v>194</v>
      </c>
      <c r="N7" s="105">
        <v>5000</v>
      </c>
      <c r="O7" s="101"/>
      <c r="P7" s="105">
        <f>SUM(N7:O7)</f>
        <v>5000</v>
      </c>
      <c r="Q7" s="106">
        <f>G7-N7</f>
        <v>15000</v>
      </c>
    </row>
    <row r="8" spans="1:21" x14ac:dyDescent="0.25">
      <c r="A8" s="107"/>
      <c r="B8" s="108"/>
      <c r="C8" s="101"/>
      <c r="D8" s="101"/>
      <c r="E8" s="101"/>
      <c r="F8" s="109"/>
      <c r="G8" s="110"/>
      <c r="H8" s="109">
        <v>2</v>
      </c>
      <c r="I8" s="111">
        <v>16686</v>
      </c>
      <c r="J8" s="105">
        <v>5000</v>
      </c>
      <c r="K8" s="98" t="s">
        <v>189</v>
      </c>
      <c r="L8" s="107">
        <v>26</v>
      </c>
      <c r="M8" s="101" t="s">
        <v>195</v>
      </c>
      <c r="N8" s="105">
        <v>5000</v>
      </c>
      <c r="O8" s="101"/>
      <c r="P8" s="105">
        <f>SUM(N8:O8)</f>
        <v>5000</v>
      </c>
      <c r="Q8" s="106">
        <f>Q7-N8</f>
        <v>10000</v>
      </c>
    </row>
    <row r="9" spans="1:21" x14ac:dyDescent="0.25">
      <c r="A9" s="107"/>
      <c r="B9" s="112"/>
      <c r="C9" s="109"/>
      <c r="D9" s="109"/>
      <c r="E9" s="109"/>
      <c r="F9" s="109"/>
      <c r="G9" s="110"/>
      <c r="H9" s="109">
        <v>3</v>
      </c>
      <c r="I9" s="104">
        <v>17051</v>
      </c>
      <c r="J9" s="105">
        <v>5000</v>
      </c>
      <c r="K9" s="98"/>
      <c r="L9" s="97"/>
      <c r="M9" s="113"/>
      <c r="N9" s="105"/>
      <c r="O9" s="101"/>
      <c r="P9" s="105">
        <f>SUM(N9:O9)</f>
        <v>0</v>
      </c>
      <c r="Q9" s="106">
        <f>Q8-N9</f>
        <v>10000</v>
      </c>
    </row>
    <row r="10" spans="1:21" x14ac:dyDescent="0.25">
      <c r="A10" s="107"/>
      <c r="B10" s="112"/>
      <c r="C10" s="109"/>
      <c r="D10" s="109"/>
      <c r="E10" s="109"/>
      <c r="F10" s="109"/>
      <c r="G10" s="110"/>
      <c r="H10" s="109">
        <v>4</v>
      </c>
      <c r="I10" s="104">
        <v>17416</v>
      </c>
      <c r="J10" s="105">
        <v>5000</v>
      </c>
      <c r="K10" s="98"/>
      <c r="L10" s="97"/>
      <c r="M10" s="101"/>
      <c r="N10" s="105"/>
      <c r="O10" s="101"/>
      <c r="P10" s="105">
        <f>SUM(N10:O10)</f>
        <v>0</v>
      </c>
      <c r="Q10" s="106">
        <f>Q9-N10</f>
        <v>10000</v>
      </c>
      <c r="R10" s="114"/>
      <c r="S10" s="114"/>
      <c r="T10" s="114"/>
      <c r="U10" s="114"/>
    </row>
    <row r="11" spans="1:21" ht="16.5" thickBot="1" x14ac:dyDescent="0.3">
      <c r="A11" s="107"/>
      <c r="B11" s="115"/>
      <c r="C11" s="116"/>
      <c r="D11" s="117"/>
      <c r="E11" s="116"/>
      <c r="F11" s="118"/>
      <c r="G11" s="119"/>
      <c r="H11" s="116"/>
      <c r="I11" s="116"/>
      <c r="J11" s="120"/>
      <c r="K11" s="107"/>
      <c r="L11" s="107"/>
      <c r="M11" s="111"/>
      <c r="N11" s="392" t="s">
        <v>67</v>
      </c>
      <c r="O11" s="392">
        <f>SUM(O7:O10)</f>
        <v>0</v>
      </c>
      <c r="P11" s="393">
        <f>SUM(P7:P10)</f>
        <v>10000</v>
      </c>
      <c r="Q11" s="394">
        <f>Q9</f>
        <v>10000</v>
      </c>
    </row>
    <row r="12" spans="1:21" ht="16.5" thickTop="1" x14ac:dyDescent="0.25">
      <c r="A12" s="107">
        <v>2</v>
      </c>
      <c r="B12" s="115" t="s">
        <v>289</v>
      </c>
      <c r="C12" s="111">
        <v>16189</v>
      </c>
      <c r="D12" s="117" t="s">
        <v>201</v>
      </c>
      <c r="E12" s="116"/>
      <c r="F12" s="118" t="s">
        <v>202</v>
      </c>
      <c r="G12" s="44">
        <v>17500</v>
      </c>
      <c r="H12" s="116">
        <v>1</v>
      </c>
      <c r="I12" s="111">
        <v>16554</v>
      </c>
      <c r="J12" s="120">
        <v>3500</v>
      </c>
      <c r="K12" s="107" t="s">
        <v>196</v>
      </c>
      <c r="L12" s="107">
        <v>47</v>
      </c>
      <c r="M12" s="111">
        <v>16550</v>
      </c>
      <c r="N12" s="121">
        <v>3500</v>
      </c>
      <c r="O12" s="117"/>
      <c r="P12" s="105">
        <f>SUM(N12:O12)</f>
        <v>3500</v>
      </c>
      <c r="Q12" s="106">
        <f>G12-N12</f>
        <v>14000</v>
      </c>
    </row>
    <row r="13" spans="1:21" x14ac:dyDescent="0.25">
      <c r="A13" s="107"/>
      <c r="B13" s="115"/>
      <c r="C13" s="116"/>
      <c r="D13" s="117"/>
      <c r="E13" s="116"/>
      <c r="F13" s="118"/>
      <c r="G13" s="44"/>
      <c r="H13" s="116">
        <v>2</v>
      </c>
      <c r="I13" s="111">
        <v>16919</v>
      </c>
      <c r="J13" s="120">
        <v>3500</v>
      </c>
      <c r="K13" s="107" t="s">
        <v>190</v>
      </c>
      <c r="L13" s="107">
        <v>11</v>
      </c>
      <c r="M13" s="111">
        <v>16928</v>
      </c>
      <c r="N13" s="121">
        <v>3500</v>
      </c>
      <c r="O13" s="117">
        <v>18</v>
      </c>
      <c r="P13" s="105">
        <f>SUM(N13:O13)</f>
        <v>3518</v>
      </c>
      <c r="Q13" s="106">
        <f>Q12-N13</f>
        <v>10500</v>
      </c>
    </row>
    <row r="14" spans="1:21" x14ac:dyDescent="0.25">
      <c r="A14" s="107"/>
      <c r="B14" s="115"/>
      <c r="C14" s="116"/>
      <c r="D14" s="117"/>
      <c r="E14" s="116"/>
      <c r="F14" s="118"/>
      <c r="G14" s="44"/>
      <c r="H14" s="116">
        <v>3</v>
      </c>
      <c r="I14" s="111">
        <v>17284</v>
      </c>
      <c r="J14" s="120">
        <v>3500</v>
      </c>
      <c r="K14" s="107" t="s">
        <v>198</v>
      </c>
      <c r="L14" s="107">
        <v>17</v>
      </c>
      <c r="M14" s="111">
        <v>17645</v>
      </c>
      <c r="N14" s="121">
        <v>3500</v>
      </c>
      <c r="O14" s="117"/>
      <c r="P14" s="105">
        <f>SUM(N14:O14)</f>
        <v>3500</v>
      </c>
      <c r="Q14" s="106">
        <f>Q13-N14</f>
        <v>7000</v>
      </c>
    </row>
    <row r="15" spans="1:21" x14ac:dyDescent="0.25">
      <c r="A15" s="107"/>
      <c r="B15" s="115"/>
      <c r="C15" s="116"/>
      <c r="D15" s="117"/>
      <c r="E15" s="116"/>
      <c r="F15" s="118"/>
      <c r="G15" s="44"/>
      <c r="H15" s="116">
        <v>4</v>
      </c>
      <c r="I15" s="111">
        <v>17650</v>
      </c>
      <c r="J15" s="120">
        <v>3500</v>
      </c>
      <c r="K15" s="107" t="s">
        <v>199</v>
      </c>
      <c r="L15" s="107">
        <v>9</v>
      </c>
      <c r="M15" s="111">
        <v>18014</v>
      </c>
      <c r="N15" s="121">
        <v>3500</v>
      </c>
      <c r="O15" s="117"/>
      <c r="P15" s="105">
        <f>SUM(N15:O15)</f>
        <v>3500</v>
      </c>
      <c r="Q15" s="106">
        <f>Q14-N15</f>
        <v>3500</v>
      </c>
    </row>
    <row r="16" spans="1:21" x14ac:dyDescent="0.25">
      <c r="A16" s="107"/>
      <c r="B16" s="115"/>
      <c r="C16" s="116"/>
      <c r="D16" s="117"/>
      <c r="E16" s="116"/>
      <c r="F16" s="118"/>
      <c r="G16" s="44"/>
      <c r="H16" s="116">
        <v>5</v>
      </c>
      <c r="I16" s="111">
        <v>18015</v>
      </c>
      <c r="J16" s="120">
        <v>3500</v>
      </c>
      <c r="K16" s="107"/>
      <c r="L16" s="107"/>
      <c r="M16" s="111"/>
      <c r="N16" s="121"/>
      <c r="O16" s="117"/>
      <c r="P16" s="105"/>
      <c r="Q16" s="106">
        <f>Q15-N16</f>
        <v>3500</v>
      </c>
    </row>
    <row r="17" spans="1:17" ht="16.5" thickBot="1" x14ac:dyDescent="0.3">
      <c r="A17" s="107"/>
      <c r="B17" s="115"/>
      <c r="C17" s="116"/>
      <c r="D17" s="117"/>
      <c r="E17" s="116"/>
      <c r="F17" s="118"/>
      <c r="G17" s="44"/>
      <c r="H17" s="116"/>
      <c r="I17" s="116"/>
      <c r="J17" s="120"/>
      <c r="K17" s="107"/>
      <c r="L17" s="107"/>
      <c r="M17" s="111"/>
      <c r="N17" s="392" t="s">
        <v>67</v>
      </c>
      <c r="O17" s="392">
        <f>SUM(O12:O16)</f>
        <v>18</v>
      </c>
      <c r="P17" s="393">
        <f>SUM(P12:P16)</f>
        <v>14018</v>
      </c>
      <c r="Q17" s="394">
        <f>Q16</f>
        <v>3500</v>
      </c>
    </row>
    <row r="18" spans="1:17" ht="16.5" thickTop="1" x14ac:dyDescent="0.25">
      <c r="A18" s="107">
        <v>3</v>
      </c>
      <c r="B18" s="112" t="s">
        <v>290</v>
      </c>
      <c r="C18" s="111">
        <v>16615</v>
      </c>
      <c r="D18" s="117" t="s">
        <v>203</v>
      </c>
      <c r="E18" s="116">
        <v>5</v>
      </c>
      <c r="F18" s="118" t="s">
        <v>204</v>
      </c>
      <c r="G18" s="44">
        <v>20000</v>
      </c>
      <c r="H18" s="116">
        <v>1</v>
      </c>
      <c r="I18" s="111">
        <v>16980</v>
      </c>
      <c r="J18" s="120">
        <v>4000</v>
      </c>
      <c r="K18" s="107" t="s">
        <v>190</v>
      </c>
      <c r="L18" s="107">
        <v>38</v>
      </c>
      <c r="M18" s="111">
        <v>17048</v>
      </c>
      <c r="N18" s="121">
        <v>4000</v>
      </c>
      <c r="O18" s="117">
        <v>136</v>
      </c>
      <c r="P18" s="105">
        <f>SUM(N18:O18)</f>
        <v>4136</v>
      </c>
      <c r="Q18" s="106">
        <f>G18-N18</f>
        <v>16000</v>
      </c>
    </row>
    <row r="19" spans="1:17" x14ac:dyDescent="0.25">
      <c r="A19" s="107"/>
      <c r="B19" s="115"/>
      <c r="C19" s="116"/>
      <c r="D19" s="122"/>
      <c r="E19" s="116"/>
      <c r="F19" s="118"/>
      <c r="G19" s="44"/>
      <c r="H19" s="116">
        <v>2</v>
      </c>
      <c r="I19" s="111">
        <v>17345</v>
      </c>
      <c r="J19" s="120">
        <v>4000</v>
      </c>
      <c r="K19" s="107" t="s">
        <v>198</v>
      </c>
      <c r="L19" s="107">
        <v>3</v>
      </c>
      <c r="M19" s="111">
        <v>17466</v>
      </c>
      <c r="N19" s="121">
        <v>2500</v>
      </c>
      <c r="O19" s="117">
        <v>14</v>
      </c>
      <c r="P19" s="105">
        <f>SUM(N19:O19)</f>
        <v>2514</v>
      </c>
      <c r="Q19" s="106">
        <f>Q18-N19</f>
        <v>13500</v>
      </c>
    </row>
    <row r="20" spans="1:17" x14ac:dyDescent="0.25">
      <c r="A20" s="107"/>
      <c r="B20" s="115"/>
      <c r="C20" s="116"/>
      <c r="D20" s="117"/>
      <c r="E20" s="116"/>
      <c r="F20" s="118"/>
      <c r="G20" s="44"/>
      <c r="H20" s="116">
        <v>3</v>
      </c>
      <c r="I20" s="111">
        <v>17711</v>
      </c>
      <c r="J20" s="120">
        <v>4000</v>
      </c>
      <c r="K20" s="107" t="s">
        <v>198</v>
      </c>
      <c r="L20" s="107">
        <v>7</v>
      </c>
      <c r="M20" s="111">
        <v>17577</v>
      </c>
      <c r="N20" s="121">
        <v>1500</v>
      </c>
      <c r="O20" s="117">
        <v>327</v>
      </c>
      <c r="P20" s="105">
        <f>SUM(N20:O20)</f>
        <v>1827</v>
      </c>
      <c r="Q20" s="106">
        <f>Q19-N20</f>
        <v>12000</v>
      </c>
    </row>
    <row r="21" spans="1:17" x14ac:dyDescent="0.25">
      <c r="A21" s="107"/>
      <c r="B21" s="115"/>
      <c r="C21" s="116"/>
      <c r="D21" s="117"/>
      <c r="E21" s="116"/>
      <c r="F21" s="118"/>
      <c r="G21" s="44"/>
      <c r="H21" s="116">
        <v>4</v>
      </c>
      <c r="I21" s="111">
        <v>18076</v>
      </c>
      <c r="J21" s="120">
        <v>4000</v>
      </c>
      <c r="K21" s="107" t="s">
        <v>199</v>
      </c>
      <c r="L21" s="107">
        <v>2</v>
      </c>
      <c r="M21" s="111">
        <v>17735</v>
      </c>
      <c r="N21" s="121">
        <v>4000</v>
      </c>
      <c r="O21" s="117">
        <v>230</v>
      </c>
      <c r="P21" s="105">
        <f>SUM(N21:O21)</f>
        <v>4230</v>
      </c>
      <c r="Q21" s="106">
        <f>Q20-N21</f>
        <v>8000</v>
      </c>
    </row>
    <row r="22" spans="1:17" x14ac:dyDescent="0.25">
      <c r="A22" s="107"/>
      <c r="B22" s="115"/>
      <c r="C22" s="116"/>
      <c r="D22" s="117"/>
      <c r="E22" s="116"/>
      <c r="F22" s="118"/>
      <c r="G22" s="44"/>
      <c r="H22" s="116">
        <v>5</v>
      </c>
      <c r="I22" s="111">
        <v>18441</v>
      </c>
      <c r="J22" s="120">
        <v>4000</v>
      </c>
      <c r="K22" s="107" t="s">
        <v>200</v>
      </c>
      <c r="L22" s="107">
        <v>11</v>
      </c>
      <c r="M22" s="111">
        <v>18238</v>
      </c>
      <c r="N22" s="121">
        <v>4000</v>
      </c>
      <c r="O22" s="117">
        <v>324</v>
      </c>
      <c r="P22" s="105">
        <f>SUM(N22:O22)</f>
        <v>4324</v>
      </c>
      <c r="Q22" s="106">
        <f>Q21-N22</f>
        <v>4000</v>
      </c>
    </row>
    <row r="23" spans="1:17" x14ac:dyDescent="0.25">
      <c r="A23" s="107"/>
      <c r="B23" s="115"/>
      <c r="C23" s="116"/>
      <c r="D23" s="117"/>
      <c r="E23" s="116"/>
      <c r="F23" s="118"/>
      <c r="G23" s="44"/>
      <c r="H23" s="116"/>
      <c r="I23" s="111"/>
      <c r="J23" s="120"/>
      <c r="K23" s="107"/>
      <c r="L23" s="107"/>
      <c r="M23" s="111"/>
      <c r="N23" s="123"/>
      <c r="O23" s="124"/>
      <c r="P23" s="125"/>
      <c r="Q23" s="126"/>
    </row>
    <row r="24" spans="1:17" ht="16.5" thickBot="1" x14ac:dyDescent="0.3">
      <c r="A24" s="107"/>
      <c r="B24" s="115"/>
      <c r="C24" s="116"/>
      <c r="D24" s="117"/>
      <c r="E24" s="116"/>
      <c r="F24" s="118"/>
      <c r="G24" s="44"/>
      <c r="H24" s="116"/>
      <c r="I24" s="111"/>
      <c r="J24" s="120"/>
      <c r="K24" s="107"/>
      <c r="L24" s="107"/>
      <c r="M24" s="107"/>
      <c r="N24" s="392" t="s">
        <v>67</v>
      </c>
      <c r="O24" s="392">
        <f>SUM(O18:O22)</f>
        <v>1031</v>
      </c>
      <c r="P24" s="393">
        <f>SUM(P18:P22)</f>
        <v>17031</v>
      </c>
      <c r="Q24" s="394">
        <f>Q22</f>
        <v>4000</v>
      </c>
    </row>
    <row r="25" spans="1:17" ht="16.5" thickTop="1" x14ac:dyDescent="0.25">
      <c r="A25" s="107">
        <v>4</v>
      </c>
      <c r="B25" s="127" t="s">
        <v>291</v>
      </c>
      <c r="C25" s="111">
        <v>16945</v>
      </c>
      <c r="D25" s="118" t="s">
        <v>205</v>
      </c>
      <c r="E25" s="116">
        <v>5</v>
      </c>
      <c r="F25" s="118" t="s">
        <v>206</v>
      </c>
      <c r="G25" s="44">
        <v>25000</v>
      </c>
      <c r="H25" s="116">
        <v>1</v>
      </c>
      <c r="I25" s="111">
        <v>17310</v>
      </c>
      <c r="J25" s="120">
        <v>5000</v>
      </c>
      <c r="K25" s="107" t="s">
        <v>197</v>
      </c>
      <c r="L25" s="107">
        <v>35</v>
      </c>
      <c r="M25" s="111">
        <v>17375</v>
      </c>
      <c r="N25" s="121">
        <v>5000</v>
      </c>
      <c r="O25" s="128">
        <v>128</v>
      </c>
      <c r="P25" s="105">
        <f>SUM(N25:O25)</f>
        <v>5128</v>
      </c>
      <c r="Q25" s="106">
        <f>G25-N25</f>
        <v>20000</v>
      </c>
    </row>
    <row r="26" spans="1:17" x14ac:dyDescent="0.25">
      <c r="A26" s="107"/>
      <c r="B26" s="115"/>
      <c r="C26" s="116"/>
      <c r="D26" s="117"/>
      <c r="E26" s="116"/>
      <c r="F26" s="118"/>
      <c r="G26" s="44"/>
      <c r="H26" s="116">
        <v>2</v>
      </c>
      <c r="I26" s="111">
        <v>17676</v>
      </c>
      <c r="J26" s="120">
        <v>5000</v>
      </c>
      <c r="K26" s="107" t="s">
        <v>198</v>
      </c>
      <c r="L26" s="107">
        <v>32</v>
      </c>
      <c r="M26" s="111">
        <v>17692</v>
      </c>
      <c r="N26" s="121">
        <v>5000</v>
      </c>
      <c r="O26" s="128">
        <v>100</v>
      </c>
      <c r="P26" s="105">
        <f t="shared" ref="P26:P32" si="0">SUM(N26:O26)</f>
        <v>5100</v>
      </c>
      <c r="Q26" s="106">
        <f>Q25-N26</f>
        <v>15000</v>
      </c>
    </row>
    <row r="27" spans="1:17" x14ac:dyDescent="0.25">
      <c r="A27" s="107"/>
      <c r="B27" s="115"/>
      <c r="C27" s="116"/>
      <c r="D27" s="117"/>
      <c r="E27" s="116"/>
      <c r="F27" s="118"/>
      <c r="G27" s="44"/>
      <c r="H27" s="116">
        <v>3</v>
      </c>
      <c r="I27" s="111">
        <v>18041</v>
      </c>
      <c r="J27" s="120">
        <v>5000</v>
      </c>
      <c r="K27" s="107" t="s">
        <v>199</v>
      </c>
      <c r="L27" s="107">
        <v>20</v>
      </c>
      <c r="M27" s="111">
        <v>18042</v>
      </c>
      <c r="N27" s="121">
        <v>5000</v>
      </c>
      <c r="O27" s="128"/>
      <c r="P27" s="105">
        <f t="shared" si="0"/>
        <v>5000</v>
      </c>
      <c r="Q27" s="106">
        <f t="shared" ref="Q27:Q35" si="1">Q26-N27</f>
        <v>10000</v>
      </c>
    </row>
    <row r="28" spans="1:17" x14ac:dyDescent="0.25">
      <c r="A28" s="107"/>
      <c r="B28" s="115"/>
      <c r="C28" s="116"/>
      <c r="D28" s="117"/>
      <c r="E28" s="116"/>
      <c r="F28" s="118"/>
      <c r="G28" s="44"/>
      <c r="H28" s="116">
        <v>4</v>
      </c>
      <c r="I28" s="111">
        <v>18406</v>
      </c>
      <c r="J28" s="120">
        <v>5000</v>
      </c>
      <c r="K28" s="107" t="s">
        <v>207</v>
      </c>
      <c r="L28" s="107">
        <v>48</v>
      </c>
      <c r="M28" s="111">
        <v>20655</v>
      </c>
      <c r="N28" s="128">
        <v>500</v>
      </c>
      <c r="O28" s="128"/>
      <c r="P28" s="105">
        <f t="shared" si="0"/>
        <v>500</v>
      </c>
      <c r="Q28" s="106">
        <f t="shared" si="1"/>
        <v>9500</v>
      </c>
    </row>
    <row r="29" spans="1:17" x14ac:dyDescent="0.25">
      <c r="A29" s="107"/>
      <c r="B29" s="115"/>
      <c r="C29" s="116"/>
      <c r="D29" s="117"/>
      <c r="E29" s="116"/>
      <c r="F29" s="118"/>
      <c r="G29" s="44"/>
      <c r="H29" s="116">
        <v>5</v>
      </c>
      <c r="I29" s="111">
        <v>18771</v>
      </c>
      <c r="J29" s="120">
        <v>5000</v>
      </c>
      <c r="K29" s="107" t="s">
        <v>208</v>
      </c>
      <c r="L29" s="107">
        <v>46</v>
      </c>
      <c r="M29" s="111">
        <v>20695</v>
      </c>
      <c r="N29" s="128">
        <v>500</v>
      </c>
      <c r="O29" s="128"/>
      <c r="P29" s="105">
        <f t="shared" si="0"/>
        <v>500</v>
      </c>
      <c r="Q29" s="106">
        <f t="shared" si="1"/>
        <v>9000</v>
      </c>
    </row>
    <row r="30" spans="1:17" x14ac:dyDescent="0.25">
      <c r="A30" s="107"/>
      <c r="B30" s="115"/>
      <c r="C30" s="116"/>
      <c r="D30" s="117"/>
      <c r="E30" s="116"/>
      <c r="F30" s="118"/>
      <c r="G30" s="44"/>
      <c r="H30" s="116"/>
      <c r="I30" s="111"/>
      <c r="J30" s="120"/>
      <c r="K30" s="107" t="s">
        <v>209</v>
      </c>
      <c r="L30" s="107">
        <v>32</v>
      </c>
      <c r="M30" s="111">
        <v>20773</v>
      </c>
      <c r="N30" s="129">
        <v>1000</v>
      </c>
      <c r="O30" s="129"/>
      <c r="P30" s="105">
        <f t="shared" si="0"/>
        <v>1000</v>
      </c>
      <c r="Q30" s="106">
        <f t="shared" si="1"/>
        <v>8000</v>
      </c>
    </row>
    <row r="31" spans="1:17" x14ac:dyDescent="0.25">
      <c r="A31" s="107"/>
      <c r="B31" s="115"/>
      <c r="C31" s="116"/>
      <c r="D31" s="117"/>
      <c r="E31" s="116"/>
      <c r="F31" s="118"/>
      <c r="G31" s="44"/>
      <c r="H31" s="116"/>
      <c r="I31" s="111"/>
      <c r="J31" s="120"/>
      <c r="K31" s="107" t="s">
        <v>307</v>
      </c>
      <c r="L31" s="107">
        <v>14</v>
      </c>
      <c r="M31" s="111">
        <v>21736</v>
      </c>
      <c r="N31" s="129">
        <v>500</v>
      </c>
      <c r="O31" s="129"/>
      <c r="P31" s="125">
        <f t="shared" si="0"/>
        <v>500</v>
      </c>
      <c r="Q31" s="106">
        <f t="shared" si="1"/>
        <v>7500</v>
      </c>
    </row>
    <row r="32" spans="1:17" x14ac:dyDescent="0.25">
      <c r="A32" s="107"/>
      <c r="B32" s="115"/>
      <c r="C32" s="116"/>
      <c r="D32" s="117"/>
      <c r="E32" s="116"/>
      <c r="F32" s="118"/>
      <c r="G32" s="44"/>
      <c r="H32" s="116"/>
      <c r="I32" s="111"/>
      <c r="J32" s="120"/>
      <c r="K32" s="107" t="s">
        <v>307</v>
      </c>
      <c r="L32" s="107">
        <v>44</v>
      </c>
      <c r="M32" s="111">
        <v>21772</v>
      </c>
      <c r="N32" s="129">
        <v>500</v>
      </c>
      <c r="O32" s="129"/>
      <c r="P32" s="125">
        <f t="shared" si="0"/>
        <v>500</v>
      </c>
      <c r="Q32" s="106">
        <f t="shared" si="1"/>
        <v>7000</v>
      </c>
    </row>
    <row r="33" spans="1:17" x14ac:dyDescent="0.25">
      <c r="A33" s="107"/>
      <c r="B33" s="115"/>
      <c r="C33" s="116"/>
      <c r="D33" s="117"/>
      <c r="E33" s="116"/>
      <c r="F33" s="118"/>
      <c r="G33" s="44"/>
      <c r="H33" s="116"/>
      <c r="I33" s="111"/>
      <c r="J33" s="120"/>
      <c r="K33" s="107" t="s">
        <v>308</v>
      </c>
      <c r="L33" s="107">
        <v>29</v>
      </c>
      <c r="M33" s="111">
        <v>21815</v>
      </c>
      <c r="N33" s="129">
        <v>500</v>
      </c>
      <c r="O33" s="129"/>
      <c r="P33" s="105">
        <f t="shared" ref="P33:P35" si="2">SUM(N33:O33)</f>
        <v>500</v>
      </c>
      <c r="Q33" s="106">
        <f t="shared" si="1"/>
        <v>6500</v>
      </c>
    </row>
    <row r="34" spans="1:17" x14ac:dyDescent="0.25">
      <c r="A34" s="107"/>
      <c r="B34" s="115"/>
      <c r="C34" s="116"/>
      <c r="D34" s="117"/>
      <c r="E34" s="116"/>
      <c r="F34" s="118"/>
      <c r="G34" s="44"/>
      <c r="H34" s="116"/>
      <c r="I34" s="111"/>
      <c r="J34" s="120"/>
      <c r="K34" s="107" t="s">
        <v>541</v>
      </c>
      <c r="L34" s="107">
        <v>49</v>
      </c>
      <c r="M34" s="111">
        <v>21875</v>
      </c>
      <c r="N34" s="129">
        <v>1000</v>
      </c>
      <c r="O34" s="129"/>
      <c r="P34" s="125">
        <f t="shared" si="2"/>
        <v>1000</v>
      </c>
      <c r="Q34" s="106">
        <f t="shared" si="1"/>
        <v>5500</v>
      </c>
    </row>
    <row r="35" spans="1:17" x14ac:dyDescent="0.25">
      <c r="A35" s="107"/>
      <c r="B35" s="115"/>
      <c r="C35" s="116"/>
      <c r="D35" s="117"/>
      <c r="E35" s="116"/>
      <c r="F35" s="118"/>
      <c r="G35" s="44"/>
      <c r="H35" s="116"/>
      <c r="I35" s="111"/>
      <c r="J35" s="120"/>
      <c r="K35" s="107" t="s">
        <v>541</v>
      </c>
      <c r="L35" s="107">
        <v>50</v>
      </c>
      <c r="M35" s="111">
        <v>21876</v>
      </c>
      <c r="N35" s="129">
        <v>2000</v>
      </c>
      <c r="O35" s="129"/>
      <c r="P35" s="125">
        <f t="shared" si="2"/>
        <v>2000</v>
      </c>
      <c r="Q35" s="106">
        <f t="shared" si="1"/>
        <v>3500</v>
      </c>
    </row>
    <row r="36" spans="1:17" ht="16.5" thickBot="1" x14ac:dyDescent="0.3">
      <c r="A36" s="107"/>
      <c r="B36" s="115"/>
      <c r="C36" s="116"/>
      <c r="D36" s="117"/>
      <c r="E36" s="116"/>
      <c r="F36" s="118"/>
      <c r="G36" s="44"/>
      <c r="H36" s="116"/>
      <c r="I36" s="111"/>
      <c r="J36" s="120"/>
      <c r="K36" s="107"/>
      <c r="L36" s="107"/>
      <c r="M36" s="107"/>
      <c r="N36" s="392" t="s">
        <v>67</v>
      </c>
      <c r="O36" s="392">
        <f>SUM(O25:O30)</f>
        <v>228</v>
      </c>
      <c r="P36" s="393">
        <f>SUM(P25:P35)</f>
        <v>21728</v>
      </c>
      <c r="Q36" s="394">
        <f>Q35</f>
        <v>3500</v>
      </c>
    </row>
    <row r="37" spans="1:17" ht="16.5" thickTop="1" x14ac:dyDescent="0.25">
      <c r="A37" s="107">
        <v>5</v>
      </c>
      <c r="B37" s="127" t="s">
        <v>292</v>
      </c>
      <c r="C37" s="111">
        <v>17050</v>
      </c>
      <c r="D37" s="118" t="s">
        <v>211</v>
      </c>
      <c r="E37" s="116">
        <v>5</v>
      </c>
      <c r="F37" s="118" t="s">
        <v>212</v>
      </c>
      <c r="G37" s="44">
        <v>20000</v>
      </c>
      <c r="H37" s="116">
        <v>1</v>
      </c>
      <c r="I37" s="111">
        <v>17415</v>
      </c>
      <c r="J37" s="120">
        <v>4000</v>
      </c>
      <c r="K37" s="130"/>
      <c r="L37" s="130"/>
      <c r="M37" s="131"/>
      <c r="N37" s="121"/>
      <c r="O37" s="117"/>
      <c r="P37" s="105">
        <f>SUM(N37:O37)</f>
        <v>0</v>
      </c>
      <c r="Q37" s="106">
        <f>G37-N37</f>
        <v>20000</v>
      </c>
    </row>
    <row r="38" spans="1:17" x14ac:dyDescent="0.25">
      <c r="A38" s="107"/>
      <c r="B38" s="115"/>
      <c r="C38" s="116"/>
      <c r="D38" s="122"/>
      <c r="E38" s="116"/>
      <c r="F38" s="118"/>
      <c r="G38" s="44"/>
      <c r="H38" s="116">
        <v>2</v>
      </c>
      <c r="I38" s="111">
        <v>17781</v>
      </c>
      <c r="J38" s="120">
        <v>4000</v>
      </c>
      <c r="K38" s="107"/>
      <c r="L38" s="107"/>
      <c r="M38" s="107"/>
      <c r="N38" s="121"/>
      <c r="O38" s="117"/>
      <c r="P38" s="105">
        <f>SUM(N38:O38)</f>
        <v>0</v>
      </c>
      <c r="Q38" s="106">
        <f>Q37-N38</f>
        <v>20000</v>
      </c>
    </row>
    <row r="39" spans="1:17" x14ac:dyDescent="0.25">
      <c r="A39" s="107"/>
      <c r="B39" s="115"/>
      <c r="C39" s="116"/>
      <c r="D39" s="117"/>
      <c r="E39" s="116"/>
      <c r="F39" s="118"/>
      <c r="G39" s="44"/>
      <c r="H39" s="116">
        <v>3</v>
      </c>
      <c r="I39" s="111">
        <v>18146</v>
      </c>
      <c r="J39" s="120">
        <v>4000</v>
      </c>
      <c r="K39" s="107"/>
      <c r="L39" s="107"/>
      <c r="M39" s="107"/>
      <c r="N39" s="121"/>
      <c r="O39" s="117"/>
      <c r="P39" s="105">
        <f>SUM(N39:O39)</f>
        <v>0</v>
      </c>
      <c r="Q39" s="106">
        <f>Q38-N39</f>
        <v>20000</v>
      </c>
    </row>
    <row r="40" spans="1:17" x14ac:dyDescent="0.25">
      <c r="A40" s="107"/>
      <c r="B40" s="115"/>
      <c r="C40" s="116"/>
      <c r="D40" s="117"/>
      <c r="E40" s="116"/>
      <c r="F40" s="118"/>
      <c r="G40" s="44"/>
      <c r="H40" s="116">
        <v>4</v>
      </c>
      <c r="I40" s="111">
        <v>18511</v>
      </c>
      <c r="J40" s="120">
        <v>4000</v>
      </c>
      <c r="K40" s="107"/>
      <c r="L40" s="107"/>
      <c r="M40" s="107"/>
      <c r="N40" s="121"/>
      <c r="O40" s="117"/>
      <c r="P40" s="105">
        <f>SUM(N40:O40)</f>
        <v>0</v>
      </c>
      <c r="Q40" s="106">
        <f>Q39-N40</f>
        <v>20000</v>
      </c>
    </row>
    <row r="41" spans="1:17" x14ac:dyDescent="0.25">
      <c r="A41" s="107"/>
      <c r="B41" s="115"/>
      <c r="C41" s="116"/>
      <c r="D41" s="117"/>
      <c r="E41" s="116"/>
      <c r="F41" s="118"/>
      <c r="G41" s="44"/>
      <c r="H41" s="116">
        <v>5</v>
      </c>
      <c r="I41" s="111">
        <v>18876</v>
      </c>
      <c r="J41" s="120">
        <v>4000</v>
      </c>
      <c r="K41" s="107"/>
      <c r="L41" s="107"/>
      <c r="M41" s="107"/>
      <c r="N41" s="132"/>
      <c r="O41" s="132"/>
      <c r="P41" s="105">
        <f>SUM(N41:O41)</f>
        <v>0</v>
      </c>
      <c r="Q41" s="106">
        <f>Q40-N41</f>
        <v>20000</v>
      </c>
    </row>
    <row r="42" spans="1:17" ht="16.5" thickBot="1" x14ac:dyDescent="0.3">
      <c r="A42" s="107"/>
      <c r="B42" s="115"/>
      <c r="C42" s="116"/>
      <c r="D42" s="117"/>
      <c r="E42" s="116"/>
      <c r="F42" s="118"/>
      <c r="G42" s="44"/>
      <c r="H42" s="116"/>
      <c r="I42" s="111"/>
      <c r="J42" s="120"/>
      <c r="K42" s="107"/>
      <c r="L42" s="107"/>
      <c r="M42" s="107"/>
      <c r="N42" s="392" t="s">
        <v>67</v>
      </c>
      <c r="O42" s="392">
        <f>SUM(O37:O41)</f>
        <v>0</v>
      </c>
      <c r="P42" s="393">
        <f>SUM(P37:P41)</f>
        <v>0</v>
      </c>
      <c r="Q42" s="394">
        <f>Q41</f>
        <v>20000</v>
      </c>
    </row>
    <row r="43" spans="1:17" ht="16.5" thickTop="1" x14ac:dyDescent="0.25">
      <c r="A43" s="107">
        <v>6</v>
      </c>
      <c r="B43" s="127" t="s">
        <v>293</v>
      </c>
      <c r="C43" s="111">
        <v>17050</v>
      </c>
      <c r="D43" s="118" t="s">
        <v>213</v>
      </c>
      <c r="E43" s="116"/>
      <c r="F43" s="118" t="s">
        <v>214</v>
      </c>
      <c r="G43" s="44">
        <v>25000</v>
      </c>
      <c r="H43" s="116">
        <v>1</v>
      </c>
      <c r="I43" s="111">
        <v>17415</v>
      </c>
      <c r="J43" s="120">
        <v>5000</v>
      </c>
      <c r="K43" s="107" t="s">
        <v>197</v>
      </c>
      <c r="L43" s="107">
        <v>38</v>
      </c>
      <c r="M43" s="111">
        <v>17419</v>
      </c>
      <c r="N43" s="121">
        <v>5000</v>
      </c>
      <c r="O43" s="133">
        <v>8</v>
      </c>
      <c r="P43" s="105">
        <f>SUM(N43:O43)</f>
        <v>5008</v>
      </c>
      <c r="Q43" s="106">
        <f>G43-N43</f>
        <v>20000</v>
      </c>
    </row>
    <row r="44" spans="1:17" x14ac:dyDescent="0.25">
      <c r="A44" s="107"/>
      <c r="B44" s="115"/>
      <c r="C44" s="116"/>
      <c r="D44" s="122"/>
      <c r="E44" s="116"/>
      <c r="F44" s="118"/>
      <c r="G44" s="44"/>
      <c r="H44" s="116">
        <v>2</v>
      </c>
      <c r="I44" s="111">
        <v>17781</v>
      </c>
      <c r="J44" s="120">
        <v>5000</v>
      </c>
      <c r="K44" s="107" t="s">
        <v>199</v>
      </c>
      <c r="L44" s="107">
        <v>1</v>
      </c>
      <c r="M44" s="111">
        <v>17816</v>
      </c>
      <c r="N44" s="121">
        <v>5000</v>
      </c>
      <c r="O44" s="117">
        <v>70</v>
      </c>
      <c r="P44" s="105">
        <f>SUM(N44:O44)</f>
        <v>5070</v>
      </c>
      <c r="Q44" s="106">
        <f>Q43-N44</f>
        <v>15000</v>
      </c>
    </row>
    <row r="45" spans="1:17" x14ac:dyDescent="0.25">
      <c r="A45" s="107"/>
      <c r="B45" s="115"/>
      <c r="C45" s="116"/>
      <c r="D45" s="117"/>
      <c r="E45" s="116"/>
      <c r="F45" s="118"/>
      <c r="G45" s="44"/>
      <c r="H45" s="116">
        <v>3</v>
      </c>
      <c r="I45" s="111">
        <v>18146</v>
      </c>
      <c r="J45" s="120">
        <v>5000</v>
      </c>
      <c r="K45" s="107"/>
      <c r="L45" s="107"/>
      <c r="M45" s="107"/>
      <c r="N45" s="121"/>
      <c r="O45" s="117"/>
      <c r="P45" s="105">
        <f>SUM(N45:O45)</f>
        <v>0</v>
      </c>
      <c r="Q45" s="106"/>
    </row>
    <row r="46" spans="1:17" x14ac:dyDescent="0.25">
      <c r="A46" s="107"/>
      <c r="B46" s="115"/>
      <c r="C46" s="116"/>
      <c r="D46" s="117"/>
      <c r="E46" s="116"/>
      <c r="F46" s="118"/>
      <c r="G46" s="44"/>
      <c r="H46" s="116">
        <v>4</v>
      </c>
      <c r="I46" s="111">
        <v>18511</v>
      </c>
      <c r="J46" s="120">
        <v>5000</v>
      </c>
      <c r="K46" s="107"/>
      <c r="L46" s="107"/>
      <c r="M46" s="107"/>
      <c r="N46" s="121"/>
      <c r="O46" s="117"/>
      <c r="P46" s="105">
        <f>SUM(N46:O46)</f>
        <v>0</v>
      </c>
      <c r="Q46" s="106"/>
    </row>
    <row r="47" spans="1:17" x14ac:dyDescent="0.25">
      <c r="A47" s="107"/>
      <c r="B47" s="115"/>
      <c r="C47" s="116"/>
      <c r="D47" s="117"/>
      <c r="E47" s="116"/>
      <c r="F47" s="118"/>
      <c r="G47" s="44"/>
      <c r="H47" s="116">
        <v>5</v>
      </c>
      <c r="I47" s="111">
        <v>18876</v>
      </c>
      <c r="J47" s="120">
        <v>5000</v>
      </c>
      <c r="K47" s="107"/>
      <c r="L47" s="107"/>
      <c r="M47" s="107"/>
      <c r="N47" s="121"/>
      <c r="O47" s="117"/>
      <c r="P47" s="105">
        <f>SUM(N47:O47)</f>
        <v>0</v>
      </c>
      <c r="Q47" s="106"/>
    </row>
    <row r="48" spans="1:17" ht="16.5" thickBot="1" x14ac:dyDescent="0.3">
      <c r="A48" s="107"/>
      <c r="B48" s="115"/>
      <c r="C48" s="116"/>
      <c r="D48" s="117"/>
      <c r="E48" s="116"/>
      <c r="F48" s="118"/>
      <c r="G48" s="44"/>
      <c r="H48" s="116"/>
      <c r="I48" s="116"/>
      <c r="J48" s="120"/>
      <c r="K48" s="107"/>
      <c r="L48" s="107"/>
      <c r="M48" s="107"/>
      <c r="N48" s="392" t="s">
        <v>67</v>
      </c>
      <c r="O48" s="392">
        <f>SUM(O43:O47)</f>
        <v>78</v>
      </c>
      <c r="P48" s="393">
        <f>SUM(P43:P47)</f>
        <v>10078</v>
      </c>
      <c r="Q48" s="394">
        <f>Q44</f>
        <v>15000</v>
      </c>
    </row>
    <row r="49" spans="1:21" ht="16.5" thickTop="1" x14ac:dyDescent="0.25">
      <c r="A49" s="107">
        <v>7</v>
      </c>
      <c r="B49" s="127" t="s">
        <v>294</v>
      </c>
      <c r="C49" s="134">
        <v>17105</v>
      </c>
      <c r="D49" s="118" t="s">
        <v>216</v>
      </c>
      <c r="E49" s="116"/>
      <c r="F49" s="118" t="s">
        <v>215</v>
      </c>
      <c r="G49" s="44">
        <v>30000</v>
      </c>
      <c r="H49" s="116">
        <v>1</v>
      </c>
      <c r="I49" s="111">
        <v>17470</v>
      </c>
      <c r="J49" s="120">
        <v>6000</v>
      </c>
      <c r="K49" s="107" t="s">
        <v>217</v>
      </c>
      <c r="L49" s="107">
        <v>48</v>
      </c>
      <c r="M49" s="111">
        <v>20613</v>
      </c>
      <c r="N49" s="121">
        <v>22000</v>
      </c>
      <c r="O49" s="117"/>
      <c r="P49" s="121">
        <v>22000</v>
      </c>
      <c r="Q49" s="135">
        <f>G49-N49</f>
        <v>8000</v>
      </c>
    </row>
    <row r="50" spans="1:21" x14ac:dyDescent="0.25">
      <c r="A50" s="107"/>
      <c r="B50" s="115"/>
      <c r="C50" s="116"/>
      <c r="D50" s="117"/>
      <c r="E50" s="116"/>
      <c r="F50" s="118"/>
      <c r="G50" s="44"/>
      <c r="H50" s="116">
        <v>2</v>
      </c>
      <c r="I50" s="111">
        <v>17836</v>
      </c>
      <c r="J50" s="120">
        <v>6000</v>
      </c>
      <c r="K50" s="107"/>
      <c r="L50" s="107"/>
      <c r="M50" s="107"/>
      <c r="N50" s="121"/>
      <c r="O50" s="117"/>
      <c r="P50" s="121"/>
      <c r="Q50" s="135"/>
    </row>
    <row r="51" spans="1:21" x14ac:dyDescent="0.25">
      <c r="A51" s="107"/>
      <c r="B51" s="115"/>
      <c r="C51" s="116"/>
      <c r="D51" s="117"/>
      <c r="E51" s="116"/>
      <c r="F51" s="118"/>
      <c r="G51" s="44"/>
      <c r="H51" s="116">
        <v>3</v>
      </c>
      <c r="I51" s="111">
        <v>18201</v>
      </c>
      <c r="J51" s="120">
        <v>6000</v>
      </c>
      <c r="K51" s="107"/>
      <c r="L51" s="107"/>
      <c r="M51" s="107"/>
      <c r="N51" s="121"/>
      <c r="O51" s="117"/>
      <c r="P51" s="121"/>
      <c r="Q51" s="135"/>
    </row>
    <row r="52" spans="1:21" x14ac:dyDescent="0.25">
      <c r="A52" s="107"/>
      <c r="B52" s="115"/>
      <c r="C52" s="116"/>
      <c r="D52" s="117"/>
      <c r="E52" s="116"/>
      <c r="F52" s="118"/>
      <c r="G52" s="44"/>
      <c r="H52" s="116">
        <v>4</v>
      </c>
      <c r="I52" s="111">
        <v>18566</v>
      </c>
      <c r="J52" s="120">
        <v>6000</v>
      </c>
      <c r="K52" s="107"/>
      <c r="L52" s="107"/>
      <c r="M52" s="107"/>
      <c r="N52" s="121"/>
      <c r="O52" s="117"/>
      <c r="P52" s="121"/>
      <c r="Q52" s="135"/>
    </row>
    <row r="53" spans="1:21" x14ac:dyDescent="0.25">
      <c r="A53" s="107"/>
      <c r="B53" s="115"/>
      <c r="C53" s="116"/>
      <c r="D53" s="117"/>
      <c r="E53" s="116"/>
      <c r="F53" s="118"/>
      <c r="G53" s="44"/>
      <c r="H53" s="116">
        <v>5</v>
      </c>
      <c r="I53" s="111">
        <v>18931</v>
      </c>
      <c r="J53" s="120">
        <v>6000</v>
      </c>
      <c r="K53" s="107"/>
      <c r="L53" s="107"/>
      <c r="M53" s="107"/>
      <c r="N53" s="121"/>
      <c r="O53" s="117"/>
      <c r="P53" s="121"/>
      <c r="Q53" s="135"/>
      <c r="R53" s="136"/>
      <c r="S53" s="114"/>
      <c r="T53" s="114"/>
      <c r="U53" s="114"/>
    </row>
    <row r="54" spans="1:21" ht="16.5" thickBot="1" x14ac:dyDescent="0.3">
      <c r="A54" s="107"/>
      <c r="B54" s="115"/>
      <c r="C54" s="116"/>
      <c r="D54" s="117"/>
      <c r="E54" s="116"/>
      <c r="F54" s="118"/>
      <c r="G54" s="44"/>
      <c r="H54" s="116"/>
      <c r="I54" s="111"/>
      <c r="J54" s="120"/>
      <c r="K54" s="107"/>
      <c r="L54" s="107"/>
      <c r="M54" s="107"/>
      <c r="N54" s="392" t="s">
        <v>67</v>
      </c>
      <c r="O54" s="392">
        <f>SUM(O49:O53)</f>
        <v>0</v>
      </c>
      <c r="P54" s="393">
        <f>SUM(P49:P53)</f>
        <v>22000</v>
      </c>
      <c r="Q54" s="394">
        <f>Q49</f>
        <v>8000</v>
      </c>
      <c r="T54" s="136"/>
    </row>
    <row r="55" spans="1:21" ht="16.5" thickTop="1" x14ac:dyDescent="0.25">
      <c r="A55" s="107">
        <v>8</v>
      </c>
      <c r="B55" s="127" t="s">
        <v>295</v>
      </c>
      <c r="C55" s="111">
        <v>17370</v>
      </c>
      <c r="D55" s="137" t="s">
        <v>220</v>
      </c>
      <c r="E55" s="116"/>
      <c r="F55" s="137" t="s">
        <v>221</v>
      </c>
      <c r="G55" s="45">
        <v>30000</v>
      </c>
      <c r="H55" s="116">
        <v>1</v>
      </c>
      <c r="I55" s="111">
        <v>17736</v>
      </c>
      <c r="J55" s="120">
        <v>6000</v>
      </c>
      <c r="K55" s="107" t="s">
        <v>198</v>
      </c>
      <c r="L55" s="107">
        <v>45</v>
      </c>
      <c r="M55" s="111">
        <v>17783</v>
      </c>
      <c r="N55" s="121">
        <v>6000</v>
      </c>
      <c r="O55" s="117">
        <v>94</v>
      </c>
      <c r="P55" s="105">
        <f>SUM(N55:O55)</f>
        <v>6094</v>
      </c>
      <c r="Q55" s="106">
        <f>G55-N55</f>
        <v>24000</v>
      </c>
    </row>
    <row r="56" spans="1:21" x14ac:dyDescent="0.25">
      <c r="A56" s="107"/>
      <c r="B56" s="115"/>
      <c r="C56" s="116"/>
      <c r="D56" s="117"/>
      <c r="E56" s="116"/>
      <c r="F56" s="118"/>
      <c r="G56" s="44"/>
      <c r="H56" s="116">
        <v>2</v>
      </c>
      <c r="I56" s="111">
        <v>18101</v>
      </c>
      <c r="J56" s="120">
        <v>6000</v>
      </c>
      <c r="K56" s="107" t="s">
        <v>199</v>
      </c>
      <c r="L56" s="107">
        <v>10</v>
      </c>
      <c r="M56" s="111">
        <v>18014</v>
      </c>
      <c r="N56" s="121">
        <v>6000</v>
      </c>
      <c r="O56" s="117"/>
      <c r="P56" s="105">
        <f>SUM(N56:O56)</f>
        <v>6000</v>
      </c>
      <c r="Q56" s="106">
        <f>Q55-N56</f>
        <v>18000</v>
      </c>
    </row>
    <row r="57" spans="1:21" x14ac:dyDescent="0.25">
      <c r="A57" s="107"/>
      <c r="B57" s="115"/>
      <c r="C57" s="116"/>
      <c r="D57" s="117"/>
      <c r="E57" s="116"/>
      <c r="F57" s="118"/>
      <c r="G57" s="44"/>
      <c r="H57" s="116">
        <v>3</v>
      </c>
      <c r="I57" s="111">
        <v>18466</v>
      </c>
      <c r="J57" s="120">
        <v>6000</v>
      </c>
      <c r="K57" s="107" t="s">
        <v>200</v>
      </c>
      <c r="L57" s="107">
        <v>27</v>
      </c>
      <c r="M57" s="111">
        <v>18463</v>
      </c>
      <c r="N57" s="121">
        <v>15000</v>
      </c>
      <c r="O57" s="117"/>
      <c r="P57" s="105">
        <f>SUM(N57:O57)</f>
        <v>15000</v>
      </c>
      <c r="Q57" s="106">
        <f>Q56-N57</f>
        <v>3000</v>
      </c>
    </row>
    <row r="58" spans="1:21" x14ac:dyDescent="0.25">
      <c r="A58" s="107"/>
      <c r="B58" s="115"/>
      <c r="C58" s="116"/>
      <c r="D58" s="117"/>
      <c r="E58" s="116"/>
      <c r="F58" s="118"/>
      <c r="G58" s="44"/>
      <c r="H58" s="116">
        <v>4</v>
      </c>
      <c r="I58" s="111">
        <v>18831</v>
      </c>
      <c r="J58" s="120">
        <v>6000</v>
      </c>
      <c r="K58" s="107"/>
      <c r="L58" s="107"/>
      <c r="M58" s="111"/>
      <c r="N58" s="121"/>
      <c r="O58" s="117"/>
      <c r="P58" s="105">
        <f>SUM(N58:O58)</f>
        <v>0</v>
      </c>
      <c r="Q58" s="106"/>
    </row>
    <row r="59" spans="1:21" x14ac:dyDescent="0.25">
      <c r="A59" s="107"/>
      <c r="B59" s="115"/>
      <c r="C59" s="116"/>
      <c r="D59" s="117"/>
      <c r="E59" s="116"/>
      <c r="F59" s="118"/>
      <c r="G59" s="44"/>
      <c r="H59" s="116">
        <v>5</v>
      </c>
      <c r="I59" s="111">
        <v>19197</v>
      </c>
      <c r="J59" s="120">
        <v>6000</v>
      </c>
      <c r="K59" s="107"/>
      <c r="L59" s="107"/>
      <c r="M59" s="111"/>
      <c r="N59" s="121"/>
      <c r="O59" s="117"/>
      <c r="P59" s="105">
        <f>SUM(N59:O59)</f>
        <v>0</v>
      </c>
      <c r="Q59" s="106"/>
    </row>
    <row r="60" spans="1:21" ht="16.5" thickBot="1" x14ac:dyDescent="0.3">
      <c r="A60" s="107"/>
      <c r="B60" s="115"/>
      <c r="C60" s="116"/>
      <c r="D60" s="117"/>
      <c r="E60" s="116"/>
      <c r="F60" s="118"/>
      <c r="G60" s="44"/>
      <c r="H60" s="116"/>
      <c r="I60" s="116"/>
      <c r="J60" s="120"/>
      <c r="K60" s="107"/>
      <c r="L60" s="107"/>
      <c r="M60" s="111"/>
      <c r="N60" s="392" t="s">
        <v>67</v>
      </c>
      <c r="O60" s="392">
        <f>SUM(O55:O59)</f>
        <v>94</v>
      </c>
      <c r="P60" s="393">
        <f>SUM(P55:P59)</f>
        <v>27094</v>
      </c>
      <c r="Q60" s="394">
        <f>Q57</f>
        <v>3000</v>
      </c>
    </row>
    <row r="61" spans="1:21" ht="16.5" thickTop="1" x14ac:dyDescent="0.25">
      <c r="A61" s="107">
        <v>9</v>
      </c>
      <c r="B61" s="127" t="s">
        <v>296</v>
      </c>
      <c r="C61" s="134">
        <v>17816</v>
      </c>
      <c r="D61" s="118" t="s">
        <v>224</v>
      </c>
      <c r="E61" s="116"/>
      <c r="F61" s="118" t="s">
        <v>225</v>
      </c>
      <c r="G61" s="138">
        <v>20000</v>
      </c>
      <c r="H61" s="116">
        <v>1</v>
      </c>
      <c r="I61" s="111">
        <v>18182</v>
      </c>
      <c r="J61" s="120">
        <v>4000</v>
      </c>
      <c r="K61" s="107" t="s">
        <v>200</v>
      </c>
      <c r="L61" s="107">
        <v>5</v>
      </c>
      <c r="M61" s="111">
        <v>18181</v>
      </c>
      <c r="N61" s="121">
        <v>4000</v>
      </c>
      <c r="O61" s="117"/>
      <c r="P61" s="121">
        <v>4000</v>
      </c>
      <c r="Q61" s="135">
        <f>G61-N61</f>
        <v>16000</v>
      </c>
    </row>
    <row r="62" spans="1:21" x14ac:dyDescent="0.25">
      <c r="A62" s="107"/>
      <c r="B62" s="115"/>
      <c r="C62" s="116"/>
      <c r="D62" s="117"/>
      <c r="E62" s="116"/>
      <c r="F62" s="118"/>
      <c r="G62" s="44"/>
      <c r="H62" s="116">
        <v>2</v>
      </c>
      <c r="I62" s="111">
        <v>18547</v>
      </c>
      <c r="J62" s="120">
        <v>4000</v>
      </c>
      <c r="K62" s="107"/>
      <c r="L62" s="107"/>
      <c r="M62" s="107"/>
      <c r="N62" s="121"/>
      <c r="O62" s="117"/>
      <c r="P62" s="121"/>
      <c r="Q62" s="135"/>
    </row>
    <row r="63" spans="1:21" x14ac:dyDescent="0.25">
      <c r="A63" s="107"/>
      <c r="B63" s="115"/>
      <c r="C63" s="116"/>
      <c r="D63" s="117"/>
      <c r="E63" s="116"/>
      <c r="F63" s="118"/>
      <c r="G63" s="44"/>
      <c r="H63" s="116">
        <v>3</v>
      </c>
      <c r="I63" s="111">
        <v>18912</v>
      </c>
      <c r="J63" s="120">
        <v>4000</v>
      </c>
      <c r="K63" s="107"/>
      <c r="L63" s="107"/>
      <c r="M63" s="107"/>
      <c r="N63" s="121"/>
      <c r="O63" s="117"/>
      <c r="P63" s="121"/>
      <c r="Q63" s="135"/>
    </row>
    <row r="64" spans="1:21" x14ac:dyDescent="0.25">
      <c r="A64" s="107"/>
      <c r="B64" s="115"/>
      <c r="C64" s="116"/>
      <c r="D64" s="117"/>
      <c r="E64" s="116"/>
      <c r="F64" s="118"/>
      <c r="G64" s="44"/>
      <c r="H64" s="116">
        <v>4</v>
      </c>
      <c r="I64" s="111">
        <v>19278</v>
      </c>
      <c r="J64" s="120">
        <v>4000</v>
      </c>
      <c r="K64" s="107"/>
      <c r="L64" s="107"/>
      <c r="M64" s="107"/>
      <c r="N64" s="121"/>
      <c r="O64" s="117"/>
      <c r="P64" s="121"/>
      <c r="Q64" s="135"/>
    </row>
    <row r="65" spans="1:17" x14ac:dyDescent="0.25">
      <c r="A65" s="107"/>
      <c r="B65" s="115"/>
      <c r="C65" s="116"/>
      <c r="D65" s="117"/>
      <c r="E65" s="116"/>
      <c r="F65" s="118"/>
      <c r="G65" s="44"/>
      <c r="H65" s="116">
        <v>5</v>
      </c>
      <c r="I65" s="111">
        <v>19643</v>
      </c>
      <c r="J65" s="120">
        <v>4000</v>
      </c>
      <c r="K65" s="107"/>
      <c r="L65" s="107"/>
      <c r="M65" s="107"/>
      <c r="N65" s="121"/>
      <c r="O65" s="117"/>
      <c r="P65" s="121"/>
      <c r="Q65" s="135"/>
    </row>
    <row r="66" spans="1:17" ht="16.5" thickBot="1" x14ac:dyDescent="0.3">
      <c r="A66" s="107"/>
      <c r="B66" s="115"/>
      <c r="C66" s="116"/>
      <c r="D66" s="117"/>
      <c r="E66" s="116"/>
      <c r="F66" s="118"/>
      <c r="G66" s="44"/>
      <c r="H66" s="116"/>
      <c r="I66" s="111"/>
      <c r="J66" s="120"/>
      <c r="K66" s="107"/>
      <c r="L66" s="107"/>
      <c r="M66" s="107"/>
      <c r="N66" s="392" t="s">
        <v>67</v>
      </c>
      <c r="O66" s="392">
        <f>SUM(O61:O65)</f>
        <v>0</v>
      </c>
      <c r="P66" s="393">
        <f>SUM(P61:P64)</f>
        <v>4000</v>
      </c>
      <c r="Q66" s="394">
        <f>SUM(Q61:Q64)</f>
        <v>16000</v>
      </c>
    </row>
    <row r="67" spans="1:17" ht="16.5" thickTop="1" x14ac:dyDescent="0.25">
      <c r="A67" s="107">
        <v>10</v>
      </c>
      <c r="B67" s="127" t="s">
        <v>297</v>
      </c>
      <c r="C67" s="111">
        <v>17903</v>
      </c>
      <c r="D67" s="137" t="s">
        <v>226</v>
      </c>
      <c r="E67" s="116"/>
      <c r="F67" s="137" t="s">
        <v>227</v>
      </c>
      <c r="G67" s="45">
        <v>30000</v>
      </c>
      <c r="H67" s="116">
        <v>1</v>
      </c>
      <c r="I67" s="111">
        <v>18268</v>
      </c>
      <c r="J67" s="120">
        <v>6000</v>
      </c>
      <c r="K67" s="107" t="s">
        <v>223</v>
      </c>
      <c r="L67" s="107">
        <v>89</v>
      </c>
      <c r="M67" s="111">
        <v>19622</v>
      </c>
      <c r="N67" s="121">
        <v>6000</v>
      </c>
      <c r="O67" s="117"/>
      <c r="P67" s="121">
        <v>6000</v>
      </c>
      <c r="Q67" s="135">
        <f>G67-N67</f>
        <v>24000</v>
      </c>
    </row>
    <row r="68" spans="1:17" x14ac:dyDescent="0.25">
      <c r="A68" s="107"/>
      <c r="B68" s="115"/>
      <c r="C68" s="116"/>
      <c r="D68" s="117"/>
      <c r="E68" s="116"/>
      <c r="F68" s="118"/>
      <c r="G68" s="44"/>
      <c r="H68" s="116">
        <v>2</v>
      </c>
      <c r="I68" s="111">
        <v>18633</v>
      </c>
      <c r="J68" s="120">
        <v>6000</v>
      </c>
      <c r="K68" s="107"/>
      <c r="L68" s="107"/>
      <c r="M68" s="107"/>
      <c r="N68" s="121"/>
      <c r="O68" s="117"/>
      <c r="P68" s="121"/>
      <c r="Q68" s="135"/>
    </row>
    <row r="69" spans="1:17" x14ac:dyDescent="0.25">
      <c r="A69" s="107"/>
      <c r="B69" s="115"/>
      <c r="C69" s="116"/>
      <c r="D69" s="117"/>
      <c r="E69" s="116"/>
      <c r="F69" s="118"/>
      <c r="G69" s="44"/>
      <c r="H69" s="116">
        <v>3</v>
      </c>
      <c r="I69" s="111">
        <v>18998</v>
      </c>
      <c r="J69" s="120">
        <v>6000</v>
      </c>
      <c r="K69" s="107"/>
      <c r="L69" s="107"/>
      <c r="M69" s="107"/>
      <c r="N69" s="121"/>
      <c r="O69" s="117"/>
      <c r="P69" s="121"/>
      <c r="Q69" s="135"/>
    </row>
    <row r="70" spans="1:17" x14ac:dyDescent="0.25">
      <c r="A70" s="107"/>
      <c r="B70" s="115"/>
      <c r="C70" s="116"/>
      <c r="D70" s="117"/>
      <c r="E70" s="116"/>
      <c r="F70" s="118"/>
      <c r="G70" s="44"/>
      <c r="H70" s="116">
        <v>4</v>
      </c>
      <c r="I70" s="111">
        <v>19364</v>
      </c>
      <c r="J70" s="120">
        <v>6000</v>
      </c>
      <c r="K70" s="107"/>
      <c r="L70" s="107"/>
      <c r="M70" s="107"/>
      <c r="N70" s="121"/>
      <c r="O70" s="117"/>
      <c r="P70" s="121"/>
      <c r="Q70" s="135"/>
    </row>
    <row r="71" spans="1:17" x14ac:dyDescent="0.25">
      <c r="A71" s="107"/>
      <c r="B71" s="115"/>
      <c r="C71" s="116"/>
      <c r="D71" s="117"/>
      <c r="E71" s="116"/>
      <c r="F71" s="118"/>
      <c r="G71" s="44"/>
      <c r="H71" s="116">
        <v>5</v>
      </c>
      <c r="I71" s="111">
        <v>19729</v>
      </c>
      <c r="J71" s="120">
        <v>6000</v>
      </c>
      <c r="K71" s="107"/>
      <c r="L71" s="107"/>
      <c r="M71" s="107"/>
      <c r="N71" s="121"/>
      <c r="O71" s="117"/>
      <c r="P71" s="121"/>
      <c r="Q71" s="135"/>
    </row>
    <row r="72" spans="1:17" ht="16.5" thickBot="1" x14ac:dyDescent="0.3">
      <c r="A72" s="107"/>
      <c r="B72" s="115"/>
      <c r="C72" s="116"/>
      <c r="D72" s="117"/>
      <c r="E72" s="116"/>
      <c r="F72" s="118"/>
      <c r="G72" s="44"/>
      <c r="H72" s="116"/>
      <c r="I72" s="111"/>
      <c r="J72" s="120"/>
      <c r="K72" s="107"/>
      <c r="L72" s="107"/>
      <c r="M72" s="107"/>
      <c r="N72" s="392" t="s">
        <v>67</v>
      </c>
      <c r="O72" s="392">
        <f>SUM(O67:O71)</f>
        <v>0</v>
      </c>
      <c r="P72" s="393">
        <f>SUM(P67:P70)</f>
        <v>6000</v>
      </c>
      <c r="Q72" s="394">
        <f>SUM(Q67:Q70)</f>
        <v>24000</v>
      </c>
    </row>
    <row r="73" spans="1:17" ht="16.5" thickTop="1" x14ac:dyDescent="0.25">
      <c r="A73" s="107">
        <v>11</v>
      </c>
      <c r="B73" s="127" t="s">
        <v>298</v>
      </c>
      <c r="C73" s="111">
        <v>18134</v>
      </c>
      <c r="D73" s="137" t="s">
        <v>228</v>
      </c>
      <c r="E73" s="116"/>
      <c r="F73" s="137" t="s">
        <v>229</v>
      </c>
      <c r="G73" s="45">
        <v>30000</v>
      </c>
      <c r="H73" s="116">
        <v>1</v>
      </c>
      <c r="I73" s="111">
        <v>18499</v>
      </c>
      <c r="J73" s="120">
        <v>6000</v>
      </c>
      <c r="K73" s="107" t="s">
        <v>218</v>
      </c>
      <c r="L73" s="107">
        <v>94</v>
      </c>
      <c r="M73" s="111">
        <v>19195</v>
      </c>
      <c r="N73" s="121">
        <v>6000</v>
      </c>
      <c r="O73" s="117">
        <v>1390</v>
      </c>
      <c r="P73" s="105">
        <f>SUM(N73:O73)</f>
        <v>7390</v>
      </c>
      <c r="Q73" s="106">
        <f>G73-N73</f>
        <v>24000</v>
      </c>
    </row>
    <row r="74" spans="1:17" x14ac:dyDescent="0.25">
      <c r="A74" s="107"/>
      <c r="B74" s="115"/>
      <c r="C74" s="116"/>
      <c r="D74" s="117"/>
      <c r="E74" s="116"/>
      <c r="F74" s="118"/>
      <c r="G74" s="44"/>
      <c r="H74" s="116">
        <v>2</v>
      </c>
      <c r="I74" s="111">
        <v>18864</v>
      </c>
      <c r="J74" s="120">
        <v>6000</v>
      </c>
      <c r="K74" s="107" t="s">
        <v>218</v>
      </c>
      <c r="L74" s="107">
        <v>95</v>
      </c>
      <c r="M74" s="111">
        <v>19195</v>
      </c>
      <c r="N74" s="121">
        <v>6000</v>
      </c>
      <c r="O74" s="117">
        <v>660</v>
      </c>
      <c r="P74" s="105">
        <f>SUM(N74:O74)</f>
        <v>6660</v>
      </c>
      <c r="Q74" s="106">
        <f>Q73-N74</f>
        <v>18000</v>
      </c>
    </row>
    <row r="75" spans="1:17" x14ac:dyDescent="0.25">
      <c r="A75" s="107"/>
      <c r="B75" s="115"/>
      <c r="C75" s="116"/>
      <c r="D75" s="117"/>
      <c r="E75" s="116"/>
      <c r="F75" s="118"/>
      <c r="G75" s="44"/>
      <c r="H75" s="116">
        <v>3</v>
      </c>
      <c r="I75" s="111">
        <v>19230</v>
      </c>
      <c r="J75" s="120">
        <v>6000</v>
      </c>
      <c r="K75" s="107"/>
      <c r="L75" s="107"/>
      <c r="M75" s="107"/>
      <c r="N75" s="121"/>
      <c r="O75" s="117"/>
      <c r="P75" s="105"/>
      <c r="Q75" s="106"/>
    </row>
    <row r="76" spans="1:17" x14ac:dyDescent="0.25">
      <c r="A76" s="107"/>
      <c r="B76" s="115"/>
      <c r="C76" s="116"/>
      <c r="D76" s="117"/>
      <c r="E76" s="116"/>
      <c r="F76" s="118"/>
      <c r="G76" s="44"/>
      <c r="H76" s="116">
        <v>4</v>
      </c>
      <c r="I76" s="111">
        <v>19595</v>
      </c>
      <c r="J76" s="120">
        <v>6000</v>
      </c>
      <c r="K76" s="107"/>
      <c r="L76" s="107"/>
      <c r="M76" s="107"/>
      <c r="N76" s="121"/>
      <c r="O76" s="117"/>
      <c r="P76" s="105"/>
      <c r="Q76" s="106"/>
    </row>
    <row r="77" spans="1:17" x14ac:dyDescent="0.25">
      <c r="A77" s="107"/>
      <c r="B77" s="115"/>
      <c r="C77" s="116"/>
      <c r="D77" s="117"/>
      <c r="E77" s="116"/>
      <c r="F77" s="118"/>
      <c r="G77" s="44"/>
      <c r="H77" s="116">
        <v>5</v>
      </c>
      <c r="I77" s="111">
        <v>19960</v>
      </c>
      <c r="J77" s="120">
        <v>6000</v>
      </c>
      <c r="K77" s="107"/>
      <c r="L77" s="107"/>
      <c r="M77" s="107"/>
      <c r="N77" s="121"/>
      <c r="O77" s="117"/>
      <c r="P77" s="105"/>
      <c r="Q77" s="106"/>
    </row>
    <row r="78" spans="1:17" ht="16.5" thickBot="1" x14ac:dyDescent="0.3">
      <c r="A78" s="107"/>
      <c r="B78" s="115"/>
      <c r="C78" s="116"/>
      <c r="D78" s="117"/>
      <c r="E78" s="116"/>
      <c r="F78" s="118"/>
      <c r="G78" s="44"/>
      <c r="H78" s="116"/>
      <c r="I78" s="111"/>
      <c r="J78" s="120"/>
      <c r="K78" s="107"/>
      <c r="L78" s="107"/>
      <c r="M78" s="107"/>
      <c r="N78" s="392" t="s">
        <v>67</v>
      </c>
      <c r="O78" s="392">
        <f>SUM(O73:O77)</f>
        <v>2050</v>
      </c>
      <c r="P78" s="393">
        <f>SUM(P73:P76)</f>
        <v>14050</v>
      </c>
      <c r="Q78" s="394">
        <f>Q74</f>
        <v>18000</v>
      </c>
    </row>
    <row r="79" spans="1:17" ht="16.5" thickTop="1" x14ac:dyDescent="0.25">
      <c r="A79" s="107">
        <v>12</v>
      </c>
      <c r="B79" s="127" t="s">
        <v>299</v>
      </c>
      <c r="C79" s="111">
        <v>18545</v>
      </c>
      <c r="D79" s="137" t="s">
        <v>230</v>
      </c>
      <c r="E79" s="116"/>
      <c r="F79" s="137" t="s">
        <v>231</v>
      </c>
      <c r="G79" s="45">
        <v>20000</v>
      </c>
      <c r="H79" s="116">
        <v>1</v>
      </c>
      <c r="I79" s="111">
        <v>18910</v>
      </c>
      <c r="J79" s="120">
        <v>4000</v>
      </c>
      <c r="K79" s="107" t="s">
        <v>307</v>
      </c>
      <c r="L79" s="107">
        <v>16</v>
      </c>
      <c r="M79" s="111">
        <v>240883</v>
      </c>
      <c r="N79" s="121">
        <v>2500</v>
      </c>
      <c r="O79" s="117"/>
      <c r="P79" s="121">
        <f>N79</f>
        <v>2500</v>
      </c>
      <c r="Q79" s="135">
        <f>G79-N79</f>
        <v>17500</v>
      </c>
    </row>
    <row r="80" spans="1:17" x14ac:dyDescent="0.25">
      <c r="A80" s="107"/>
      <c r="B80" s="115"/>
      <c r="C80" s="116"/>
      <c r="D80" s="117"/>
      <c r="E80" s="116"/>
      <c r="F80" s="118"/>
      <c r="G80" s="44"/>
      <c r="H80" s="116">
        <v>2</v>
      </c>
      <c r="I80" s="111">
        <v>19276</v>
      </c>
      <c r="J80" s="120">
        <v>4000</v>
      </c>
      <c r="K80" s="107" t="s">
        <v>307</v>
      </c>
      <c r="L80" s="107">
        <v>31</v>
      </c>
      <c r="M80" s="111">
        <v>240913</v>
      </c>
      <c r="N80" s="121">
        <v>2500</v>
      </c>
      <c r="O80" s="117"/>
      <c r="P80" s="121">
        <f>N80</f>
        <v>2500</v>
      </c>
      <c r="Q80" s="135">
        <f>Q79-P80</f>
        <v>15000</v>
      </c>
    </row>
    <row r="81" spans="1:17" x14ac:dyDescent="0.25">
      <c r="A81" s="107"/>
      <c r="B81" s="115"/>
      <c r="C81" s="116"/>
      <c r="D81" s="117"/>
      <c r="E81" s="116"/>
      <c r="F81" s="118"/>
      <c r="G81" s="44"/>
      <c r="H81" s="116">
        <v>3</v>
      </c>
      <c r="I81" s="111">
        <v>19641</v>
      </c>
      <c r="J81" s="120">
        <v>4000</v>
      </c>
      <c r="K81" s="107" t="s">
        <v>308</v>
      </c>
      <c r="L81" s="107">
        <v>17</v>
      </c>
      <c r="M81" s="111">
        <v>240946</v>
      </c>
      <c r="N81" s="121">
        <v>2500</v>
      </c>
      <c r="O81" s="117"/>
      <c r="P81" s="121">
        <f>N81</f>
        <v>2500</v>
      </c>
      <c r="Q81" s="135">
        <f>Q80-P81</f>
        <v>12500</v>
      </c>
    </row>
    <row r="82" spans="1:17" x14ac:dyDescent="0.25">
      <c r="A82" s="107"/>
      <c r="B82" s="115"/>
      <c r="C82" s="116"/>
      <c r="D82" s="117"/>
      <c r="E82" s="116"/>
      <c r="F82" s="118"/>
      <c r="G82" s="44"/>
      <c r="H82" s="116">
        <v>4</v>
      </c>
      <c r="I82" s="111">
        <v>20006</v>
      </c>
      <c r="J82" s="120">
        <v>4000</v>
      </c>
      <c r="K82" s="107" t="s">
        <v>541</v>
      </c>
      <c r="L82" s="107">
        <v>4</v>
      </c>
      <c r="M82" s="111">
        <v>21828</v>
      </c>
      <c r="N82" s="121">
        <v>2500</v>
      </c>
      <c r="O82" s="117"/>
      <c r="P82" s="121">
        <f t="shared" ref="P82:P83" si="3">SUM(N82:O82)</f>
        <v>2500</v>
      </c>
      <c r="Q82" s="135">
        <f t="shared" ref="Q82:Q83" si="4">Q81-N82</f>
        <v>10000</v>
      </c>
    </row>
    <row r="83" spans="1:17" x14ac:dyDescent="0.25">
      <c r="A83" s="107"/>
      <c r="B83" s="115"/>
      <c r="C83" s="116"/>
      <c r="D83" s="117"/>
      <c r="E83" s="116"/>
      <c r="F83" s="118"/>
      <c r="G83" s="44"/>
      <c r="H83" s="116">
        <v>5</v>
      </c>
      <c r="I83" s="111">
        <v>20371</v>
      </c>
      <c r="J83" s="120">
        <v>4000</v>
      </c>
      <c r="K83" s="107" t="s">
        <v>541</v>
      </c>
      <c r="L83" s="107">
        <v>30</v>
      </c>
      <c r="M83" s="111">
        <v>21863</v>
      </c>
      <c r="N83" s="121">
        <v>2500</v>
      </c>
      <c r="O83" s="117"/>
      <c r="P83" s="121">
        <f t="shared" si="3"/>
        <v>2500</v>
      </c>
      <c r="Q83" s="135">
        <f t="shared" si="4"/>
        <v>7500</v>
      </c>
    </row>
    <row r="84" spans="1:17" ht="16.5" thickBot="1" x14ac:dyDescent="0.3">
      <c r="A84" s="107"/>
      <c r="B84" s="115"/>
      <c r="C84" s="116"/>
      <c r="D84" s="117"/>
      <c r="E84" s="116"/>
      <c r="F84" s="118"/>
      <c r="G84" s="44"/>
      <c r="H84" s="116"/>
      <c r="I84" s="116"/>
      <c r="J84" s="120"/>
      <c r="K84" s="107"/>
      <c r="L84" s="107"/>
      <c r="M84" s="111"/>
      <c r="N84" s="392" t="s">
        <v>67</v>
      </c>
      <c r="O84" s="392">
        <f>SUM(O79:O83)</f>
        <v>0</v>
      </c>
      <c r="P84" s="393">
        <f>SUM(P79:P83)</f>
        <v>12500</v>
      </c>
      <c r="Q84" s="394">
        <f>Q83</f>
        <v>7500</v>
      </c>
    </row>
    <row r="85" spans="1:17" ht="16.5" thickTop="1" x14ac:dyDescent="0.25">
      <c r="A85" s="107">
        <v>13</v>
      </c>
      <c r="B85" s="127" t="s">
        <v>300</v>
      </c>
      <c r="C85" s="111">
        <v>18889</v>
      </c>
      <c r="D85" s="137" t="s">
        <v>220</v>
      </c>
      <c r="E85" s="116"/>
      <c r="F85" s="137" t="s">
        <v>232</v>
      </c>
      <c r="G85" s="45">
        <v>20000</v>
      </c>
      <c r="H85" s="116">
        <v>1</v>
      </c>
      <c r="I85" s="111">
        <v>19255</v>
      </c>
      <c r="J85" s="120">
        <v>4000</v>
      </c>
      <c r="K85" s="107" t="s">
        <v>222</v>
      </c>
      <c r="L85" s="107">
        <v>26</v>
      </c>
      <c r="M85" s="111">
        <v>19258</v>
      </c>
      <c r="N85" s="121">
        <v>4000</v>
      </c>
      <c r="O85" s="117">
        <v>4</v>
      </c>
      <c r="P85" s="105">
        <f>SUM(N85:O85)</f>
        <v>4004</v>
      </c>
      <c r="Q85" s="106">
        <f>G85-N85</f>
        <v>16000</v>
      </c>
    </row>
    <row r="86" spans="1:17" x14ac:dyDescent="0.25">
      <c r="A86" s="107"/>
      <c r="B86" s="115"/>
      <c r="C86" s="116"/>
      <c r="D86" s="117"/>
      <c r="E86" s="116"/>
      <c r="F86" s="118"/>
      <c r="G86" s="44"/>
      <c r="H86" s="116">
        <v>2</v>
      </c>
      <c r="I86" s="111">
        <v>19620</v>
      </c>
      <c r="J86" s="120">
        <v>4000</v>
      </c>
      <c r="K86" s="107" t="s">
        <v>307</v>
      </c>
      <c r="L86" s="107">
        <v>33</v>
      </c>
      <c r="M86" s="111">
        <v>21770</v>
      </c>
      <c r="N86" s="121">
        <v>1200</v>
      </c>
      <c r="O86" s="117"/>
      <c r="P86" s="105">
        <f>SUM(N86:O86)</f>
        <v>1200</v>
      </c>
      <c r="Q86" s="106">
        <f>Q85-N86</f>
        <v>14800</v>
      </c>
    </row>
    <row r="87" spans="1:17" x14ac:dyDescent="0.25">
      <c r="A87" s="107"/>
      <c r="B87" s="115"/>
      <c r="C87" s="116"/>
      <c r="D87" s="117"/>
      <c r="E87" s="116"/>
      <c r="F87" s="118"/>
      <c r="G87" s="44"/>
      <c r="H87" s="116">
        <v>3</v>
      </c>
      <c r="I87" s="111">
        <v>19985</v>
      </c>
      <c r="J87" s="120">
        <v>4000</v>
      </c>
      <c r="K87" s="107"/>
      <c r="L87" s="107"/>
      <c r="M87" s="107"/>
      <c r="N87" s="121"/>
      <c r="O87" s="117"/>
      <c r="P87" s="105"/>
      <c r="Q87" s="106"/>
    </row>
    <row r="88" spans="1:17" x14ac:dyDescent="0.25">
      <c r="A88" s="107"/>
      <c r="B88" s="115"/>
      <c r="C88" s="116"/>
      <c r="D88" s="117"/>
      <c r="E88" s="116"/>
      <c r="F88" s="118"/>
      <c r="G88" s="44"/>
      <c r="H88" s="116">
        <v>4</v>
      </c>
      <c r="I88" s="111">
        <v>20350</v>
      </c>
      <c r="J88" s="120">
        <v>4000</v>
      </c>
      <c r="K88" s="107"/>
      <c r="L88" s="107"/>
      <c r="M88" s="107"/>
      <c r="N88" s="121"/>
      <c r="O88" s="117"/>
      <c r="P88" s="105"/>
      <c r="Q88" s="106"/>
    </row>
    <row r="89" spans="1:17" x14ac:dyDescent="0.25">
      <c r="A89" s="107"/>
      <c r="B89" s="115"/>
      <c r="C89" s="116"/>
      <c r="D89" s="117"/>
      <c r="E89" s="116"/>
      <c r="F89" s="118"/>
      <c r="G89" s="44"/>
      <c r="H89" s="116">
        <v>5</v>
      </c>
      <c r="I89" s="111">
        <v>20716</v>
      </c>
      <c r="J89" s="120">
        <v>4000</v>
      </c>
      <c r="K89" s="107"/>
      <c r="L89" s="107"/>
      <c r="M89" s="107"/>
      <c r="N89" s="121"/>
      <c r="O89" s="117"/>
      <c r="P89" s="105"/>
      <c r="Q89" s="106"/>
    </row>
    <row r="90" spans="1:17" ht="16.5" thickBot="1" x14ac:dyDescent="0.3">
      <c r="A90" s="107"/>
      <c r="B90" s="115"/>
      <c r="C90" s="116"/>
      <c r="D90" s="117"/>
      <c r="E90" s="116"/>
      <c r="F90" s="118"/>
      <c r="G90" s="44"/>
      <c r="H90" s="116"/>
      <c r="I90" s="116"/>
      <c r="J90" s="120"/>
      <c r="K90" s="107"/>
      <c r="L90" s="107"/>
      <c r="M90" s="107"/>
      <c r="N90" s="392" t="s">
        <v>67</v>
      </c>
      <c r="O90" s="392">
        <f>SUM(O85:O89)</f>
        <v>4</v>
      </c>
      <c r="P90" s="393">
        <f>SUM(P85:P88)</f>
        <v>5204</v>
      </c>
      <c r="Q90" s="394">
        <f>Q86</f>
        <v>14800</v>
      </c>
    </row>
    <row r="91" spans="1:17" ht="16.5" thickTop="1" x14ac:dyDescent="0.25">
      <c r="A91" s="107">
        <v>14</v>
      </c>
      <c r="B91" s="127" t="s">
        <v>301</v>
      </c>
      <c r="C91" s="111">
        <v>18893</v>
      </c>
      <c r="D91" s="137" t="s">
        <v>233</v>
      </c>
      <c r="E91" s="116"/>
      <c r="F91" s="137" t="s">
        <v>234</v>
      </c>
      <c r="G91" s="45">
        <v>20000</v>
      </c>
      <c r="H91" s="116">
        <v>1</v>
      </c>
      <c r="I91" s="111">
        <v>19259</v>
      </c>
      <c r="J91" s="120">
        <v>4000</v>
      </c>
      <c r="K91" s="107"/>
      <c r="L91" s="107"/>
      <c r="M91" s="107"/>
      <c r="N91" s="121"/>
      <c r="O91" s="133"/>
      <c r="P91" s="139"/>
      <c r="Q91" s="140">
        <f>G91-N91</f>
        <v>20000</v>
      </c>
    </row>
    <row r="92" spans="1:17" x14ac:dyDescent="0.25">
      <c r="A92" s="107"/>
      <c r="B92" s="115"/>
      <c r="C92" s="116"/>
      <c r="D92" s="117"/>
      <c r="E92" s="116"/>
      <c r="F92" s="118"/>
      <c r="G92" s="44"/>
      <c r="H92" s="116">
        <v>2</v>
      </c>
      <c r="I92" s="111">
        <v>19624</v>
      </c>
      <c r="J92" s="120">
        <v>4000</v>
      </c>
      <c r="K92" s="107"/>
      <c r="L92" s="107"/>
      <c r="M92" s="107"/>
      <c r="N92" s="121"/>
      <c r="O92" s="117"/>
      <c r="P92" s="121"/>
      <c r="Q92" s="135"/>
    </row>
    <row r="93" spans="1:17" x14ac:dyDescent="0.25">
      <c r="A93" s="107"/>
      <c r="B93" s="115"/>
      <c r="C93" s="116"/>
      <c r="D93" s="117"/>
      <c r="E93" s="116"/>
      <c r="F93" s="118"/>
      <c r="G93" s="44"/>
      <c r="H93" s="116">
        <v>3</v>
      </c>
      <c r="I93" s="111">
        <v>19989</v>
      </c>
      <c r="J93" s="120">
        <v>4000</v>
      </c>
      <c r="K93" s="107"/>
      <c r="L93" s="107"/>
      <c r="M93" s="107"/>
      <c r="N93" s="121"/>
      <c r="O93" s="117"/>
      <c r="P93" s="121"/>
      <c r="Q93" s="135"/>
    </row>
    <row r="94" spans="1:17" x14ac:dyDescent="0.25">
      <c r="A94" s="107"/>
      <c r="B94" s="115"/>
      <c r="C94" s="116"/>
      <c r="D94" s="117"/>
      <c r="E94" s="116"/>
      <c r="F94" s="118"/>
      <c r="G94" s="44"/>
      <c r="H94" s="116">
        <v>4</v>
      </c>
      <c r="I94" s="111">
        <v>20354</v>
      </c>
      <c r="J94" s="120">
        <v>4000</v>
      </c>
      <c r="K94" s="107"/>
      <c r="L94" s="107"/>
      <c r="M94" s="107"/>
      <c r="N94" s="121"/>
      <c r="O94" s="117"/>
      <c r="P94" s="121"/>
      <c r="Q94" s="135"/>
    </row>
    <row r="95" spans="1:17" x14ac:dyDescent="0.25">
      <c r="A95" s="107"/>
      <c r="B95" s="115"/>
      <c r="C95" s="116"/>
      <c r="D95" s="117"/>
      <c r="E95" s="116"/>
      <c r="F95" s="118"/>
      <c r="G95" s="44"/>
      <c r="H95" s="116">
        <v>5</v>
      </c>
      <c r="I95" s="111">
        <v>20720</v>
      </c>
      <c r="J95" s="120">
        <v>4000</v>
      </c>
      <c r="K95" s="107"/>
      <c r="L95" s="107"/>
      <c r="M95" s="107"/>
      <c r="N95" s="121"/>
      <c r="O95" s="117"/>
      <c r="P95" s="121"/>
      <c r="Q95" s="135"/>
    </row>
    <row r="96" spans="1:17" ht="16.5" thickBot="1" x14ac:dyDescent="0.3">
      <c r="A96" s="107"/>
      <c r="B96" s="115"/>
      <c r="C96" s="116"/>
      <c r="D96" s="117"/>
      <c r="E96" s="116"/>
      <c r="F96" s="118"/>
      <c r="G96" s="44"/>
      <c r="H96" s="116"/>
      <c r="I96" s="116"/>
      <c r="J96" s="120"/>
      <c r="K96" s="107"/>
      <c r="L96" s="107"/>
      <c r="M96" s="107"/>
      <c r="N96" s="392" t="s">
        <v>67</v>
      </c>
      <c r="O96" s="392">
        <f>SUM(O91:O95)</f>
        <v>0</v>
      </c>
      <c r="P96" s="393">
        <f>SUM(P91:P94)</f>
        <v>0</v>
      </c>
      <c r="Q96" s="394">
        <f>SUM(Q91:Q94)</f>
        <v>20000</v>
      </c>
    </row>
    <row r="97" spans="1:21" ht="16.5" thickTop="1" x14ac:dyDescent="0.25">
      <c r="A97" s="107">
        <v>15</v>
      </c>
      <c r="B97" s="127" t="s">
        <v>302</v>
      </c>
      <c r="C97" s="111">
        <v>18894</v>
      </c>
      <c r="D97" s="137" t="s">
        <v>235</v>
      </c>
      <c r="E97" s="116"/>
      <c r="F97" s="137" t="s">
        <v>236</v>
      </c>
      <c r="G97" s="45">
        <v>20000</v>
      </c>
      <c r="H97" s="116">
        <v>1</v>
      </c>
      <c r="I97" s="111">
        <v>19260</v>
      </c>
      <c r="J97" s="120">
        <v>4000</v>
      </c>
      <c r="K97" s="107" t="s">
        <v>219</v>
      </c>
      <c r="L97" s="107">
        <v>1</v>
      </c>
      <c r="M97" s="111">
        <v>19268</v>
      </c>
      <c r="N97" s="121">
        <v>4000</v>
      </c>
      <c r="O97" s="117">
        <v>16</v>
      </c>
      <c r="P97" s="121">
        <f>SUM(N97:O97)</f>
        <v>4016</v>
      </c>
      <c r="Q97" s="135">
        <f>G97-N97</f>
        <v>16000</v>
      </c>
    </row>
    <row r="98" spans="1:21" x14ac:dyDescent="0.25">
      <c r="A98" s="107"/>
      <c r="B98" s="115"/>
      <c r="C98" s="116"/>
      <c r="D98" s="117"/>
      <c r="E98" s="116"/>
      <c r="F98" s="118"/>
      <c r="G98" s="44"/>
      <c r="H98" s="116">
        <v>2</v>
      </c>
      <c r="I98" s="111">
        <v>19625</v>
      </c>
      <c r="J98" s="120">
        <v>4000</v>
      </c>
      <c r="K98" s="107" t="s">
        <v>307</v>
      </c>
      <c r="L98" s="107">
        <v>15</v>
      </c>
      <c r="M98" s="111">
        <v>240882</v>
      </c>
      <c r="N98" s="121">
        <v>1000</v>
      </c>
      <c r="O98" s="117"/>
      <c r="P98" s="121">
        <f>SUM(N98:O98)</f>
        <v>1000</v>
      </c>
      <c r="Q98" s="135">
        <f>Q97-P98</f>
        <v>15000</v>
      </c>
    </row>
    <row r="99" spans="1:21" x14ac:dyDescent="0.25">
      <c r="A99" s="107"/>
      <c r="B99" s="115"/>
      <c r="C99" s="116"/>
      <c r="D99" s="117"/>
      <c r="E99" s="116"/>
      <c r="F99" s="118"/>
      <c r="G99" s="44"/>
      <c r="H99" s="116">
        <v>3</v>
      </c>
      <c r="I99" s="111">
        <v>19990</v>
      </c>
      <c r="J99" s="120">
        <v>4000</v>
      </c>
      <c r="K99" s="107" t="s">
        <v>307</v>
      </c>
      <c r="L99" s="107">
        <v>46</v>
      </c>
      <c r="M99" s="111">
        <v>240919</v>
      </c>
      <c r="N99" s="121">
        <v>1000</v>
      </c>
      <c r="O99" s="117"/>
      <c r="P99" s="121">
        <f>SUM(N99:O99)</f>
        <v>1000</v>
      </c>
      <c r="Q99" s="135">
        <f>Q98-P99</f>
        <v>14000</v>
      </c>
    </row>
    <row r="100" spans="1:21" x14ac:dyDescent="0.25">
      <c r="A100" s="107"/>
      <c r="B100" s="115"/>
      <c r="C100" s="116"/>
      <c r="D100" s="117"/>
      <c r="E100" s="116"/>
      <c r="F100" s="118"/>
      <c r="G100" s="44"/>
      <c r="H100" s="116">
        <v>4</v>
      </c>
      <c r="I100" s="111">
        <v>20355</v>
      </c>
      <c r="J100" s="120">
        <v>4000</v>
      </c>
      <c r="K100" s="107" t="s">
        <v>308</v>
      </c>
      <c r="L100" s="107">
        <v>37</v>
      </c>
      <c r="M100" s="111">
        <v>21822</v>
      </c>
      <c r="N100" s="121">
        <v>1000</v>
      </c>
      <c r="O100" s="117"/>
      <c r="P100" s="121">
        <f>SUM(N100:O100)</f>
        <v>1000</v>
      </c>
      <c r="Q100" s="135">
        <f t="shared" ref="Q100:Q101" si="5">Q99-N100</f>
        <v>13000</v>
      </c>
    </row>
    <row r="101" spans="1:21" x14ac:dyDescent="0.25">
      <c r="A101" s="107"/>
      <c r="B101" s="115"/>
      <c r="C101" s="116"/>
      <c r="D101" s="117"/>
      <c r="E101" s="116"/>
      <c r="F101" s="118"/>
      <c r="G101" s="44"/>
      <c r="H101" s="116">
        <v>5</v>
      </c>
      <c r="I101" s="111">
        <v>20721</v>
      </c>
      <c r="J101" s="120">
        <v>4000</v>
      </c>
      <c r="K101" s="107" t="s">
        <v>541</v>
      </c>
      <c r="L101" s="107">
        <v>37</v>
      </c>
      <c r="M101" s="111">
        <v>21868</v>
      </c>
      <c r="N101" s="121">
        <v>2000</v>
      </c>
      <c r="O101" s="117"/>
      <c r="P101" s="121">
        <f>SUM(N101:O101)</f>
        <v>2000</v>
      </c>
      <c r="Q101" s="135">
        <f t="shared" si="5"/>
        <v>11000</v>
      </c>
    </row>
    <row r="102" spans="1:21" x14ac:dyDescent="0.25">
      <c r="A102" s="107"/>
      <c r="B102" s="115"/>
      <c r="C102" s="116"/>
      <c r="D102" s="117"/>
      <c r="E102" s="116"/>
      <c r="F102" s="118"/>
      <c r="G102" s="44"/>
      <c r="H102" s="116"/>
      <c r="I102" s="111"/>
      <c r="J102" s="120"/>
      <c r="K102" s="107"/>
      <c r="L102" s="107"/>
      <c r="M102" s="107"/>
      <c r="N102" s="123"/>
      <c r="O102" s="124"/>
      <c r="P102" s="123"/>
      <c r="Q102" s="141"/>
    </row>
    <row r="103" spans="1:21" ht="16.5" thickBot="1" x14ac:dyDescent="0.3">
      <c r="A103" s="107"/>
      <c r="B103" s="115"/>
      <c r="C103" s="116"/>
      <c r="D103" s="117"/>
      <c r="E103" s="116"/>
      <c r="F103" s="118"/>
      <c r="G103" s="44"/>
      <c r="H103" s="116"/>
      <c r="I103" s="111"/>
      <c r="J103" s="120"/>
      <c r="K103" s="107"/>
      <c r="L103" s="107"/>
      <c r="M103" s="107"/>
      <c r="N103" s="392" t="s">
        <v>67</v>
      </c>
      <c r="O103" s="392">
        <f>SUM(O97:O101)</f>
        <v>16</v>
      </c>
      <c r="P103" s="393">
        <f>SUM(P97:P100)</f>
        <v>7016</v>
      </c>
      <c r="Q103" s="394">
        <f>Q101</f>
        <v>11000</v>
      </c>
    </row>
    <row r="104" spans="1:21" ht="16.5" thickTop="1" x14ac:dyDescent="0.25">
      <c r="A104" s="107">
        <v>16</v>
      </c>
      <c r="B104" s="127" t="s">
        <v>303</v>
      </c>
      <c r="C104" s="111">
        <v>18895</v>
      </c>
      <c r="D104" s="137" t="s">
        <v>237</v>
      </c>
      <c r="E104" s="116"/>
      <c r="F104" s="137" t="s">
        <v>238</v>
      </c>
      <c r="G104" s="46">
        <v>40000</v>
      </c>
      <c r="H104" s="116">
        <v>1</v>
      </c>
      <c r="I104" s="111">
        <v>19261</v>
      </c>
      <c r="J104" s="120">
        <v>8000</v>
      </c>
      <c r="K104" s="107" t="s">
        <v>222</v>
      </c>
      <c r="L104" s="107">
        <v>17</v>
      </c>
      <c r="M104" s="111">
        <v>19251</v>
      </c>
      <c r="N104" s="121">
        <v>8000</v>
      </c>
      <c r="O104" s="117"/>
      <c r="P104" s="105">
        <f>SUM(N104:O104)</f>
        <v>8000</v>
      </c>
      <c r="Q104" s="106">
        <f>G104-N104</f>
        <v>32000</v>
      </c>
    </row>
    <row r="105" spans="1:21" x14ac:dyDescent="0.25">
      <c r="A105" s="107"/>
      <c r="B105" s="115"/>
      <c r="C105" s="116"/>
      <c r="D105" s="117"/>
      <c r="E105" s="116"/>
      <c r="F105" s="118"/>
      <c r="G105" s="44"/>
      <c r="H105" s="116">
        <v>2</v>
      </c>
      <c r="I105" s="111">
        <v>19626</v>
      </c>
      <c r="J105" s="120">
        <v>8000</v>
      </c>
      <c r="K105" s="107" t="s">
        <v>223</v>
      </c>
      <c r="L105" s="107">
        <v>90</v>
      </c>
      <c r="M105" s="111">
        <v>19623</v>
      </c>
      <c r="N105" s="121">
        <v>8000</v>
      </c>
      <c r="O105" s="117"/>
      <c r="P105" s="105">
        <f>SUM(N105:O105)</f>
        <v>8000</v>
      </c>
      <c r="Q105" s="106">
        <f>Q104-N105</f>
        <v>24000</v>
      </c>
    </row>
    <row r="106" spans="1:21" x14ac:dyDescent="0.25">
      <c r="A106" s="107"/>
      <c r="B106" s="115"/>
      <c r="C106" s="116"/>
      <c r="D106" s="117"/>
      <c r="E106" s="116"/>
      <c r="F106" s="118"/>
      <c r="G106" s="44"/>
      <c r="H106" s="116">
        <v>3</v>
      </c>
      <c r="I106" s="111">
        <v>19991</v>
      </c>
      <c r="J106" s="120">
        <v>8000</v>
      </c>
      <c r="K106" s="107" t="s">
        <v>239</v>
      </c>
      <c r="L106" s="107">
        <v>50</v>
      </c>
      <c r="M106" s="111">
        <v>19982</v>
      </c>
      <c r="N106" s="121">
        <v>8000</v>
      </c>
      <c r="O106" s="117"/>
      <c r="P106" s="105">
        <f>SUM(N106:O106)</f>
        <v>8000</v>
      </c>
      <c r="Q106" s="106">
        <f>Q105-N106</f>
        <v>16000</v>
      </c>
    </row>
    <row r="107" spans="1:21" x14ac:dyDescent="0.25">
      <c r="A107" s="107"/>
      <c r="B107" s="115"/>
      <c r="C107" s="116"/>
      <c r="D107" s="117"/>
      <c r="E107" s="116"/>
      <c r="F107" s="118"/>
      <c r="G107" s="44"/>
      <c r="H107" s="116">
        <v>4</v>
      </c>
      <c r="I107" s="111">
        <v>20356</v>
      </c>
      <c r="J107" s="120">
        <v>8000</v>
      </c>
      <c r="K107" s="107" t="s">
        <v>240</v>
      </c>
      <c r="L107" s="107">
        <v>42</v>
      </c>
      <c r="M107" s="111">
        <v>20351</v>
      </c>
      <c r="N107" s="121">
        <v>8000</v>
      </c>
      <c r="O107" s="117"/>
      <c r="P107" s="105">
        <f>SUM(N107:O107)</f>
        <v>8000</v>
      </c>
      <c r="Q107" s="106">
        <f>Q106-N107</f>
        <v>8000</v>
      </c>
    </row>
    <row r="108" spans="1:21" x14ac:dyDescent="0.25">
      <c r="A108" s="107"/>
      <c r="B108" s="115"/>
      <c r="C108" s="116"/>
      <c r="D108" s="117"/>
      <c r="E108" s="116"/>
      <c r="F108" s="118"/>
      <c r="G108" s="44"/>
      <c r="H108" s="116">
        <v>5</v>
      </c>
      <c r="I108" s="111">
        <v>20722</v>
      </c>
      <c r="J108" s="120">
        <v>8000</v>
      </c>
      <c r="K108" s="107"/>
      <c r="L108" s="107"/>
      <c r="M108" s="111"/>
      <c r="N108" s="121"/>
      <c r="O108" s="117"/>
      <c r="P108" s="105">
        <f>SUM(N108:O108)</f>
        <v>0</v>
      </c>
      <c r="Q108" s="106">
        <f>Q107-N108</f>
        <v>8000</v>
      </c>
      <c r="R108" s="136"/>
      <c r="S108" s="114"/>
      <c r="T108" s="114"/>
      <c r="U108" s="114"/>
    </row>
    <row r="109" spans="1:21" ht="16.5" thickBot="1" x14ac:dyDescent="0.3">
      <c r="A109" s="107"/>
      <c r="B109" s="115"/>
      <c r="C109" s="116"/>
      <c r="D109" s="117"/>
      <c r="E109" s="116"/>
      <c r="F109" s="118"/>
      <c r="G109" s="44"/>
      <c r="H109" s="116"/>
      <c r="I109" s="116"/>
      <c r="J109" s="120"/>
      <c r="K109" s="107"/>
      <c r="L109" s="107"/>
      <c r="M109" s="111"/>
      <c r="N109" s="392" t="s">
        <v>67</v>
      </c>
      <c r="O109" s="392">
        <f>SUM(O104:O108)</f>
        <v>0</v>
      </c>
      <c r="P109" s="393">
        <f>SUM(P104:P107)</f>
        <v>32000</v>
      </c>
      <c r="Q109" s="394">
        <f>Q107</f>
        <v>8000</v>
      </c>
      <c r="T109" s="136"/>
    </row>
    <row r="110" spans="1:21" ht="16.5" thickTop="1" x14ac:dyDescent="0.25">
      <c r="A110" s="107">
        <v>17</v>
      </c>
      <c r="B110" s="127" t="s">
        <v>304</v>
      </c>
      <c r="C110" s="111">
        <v>19050</v>
      </c>
      <c r="D110" s="137" t="s">
        <v>241</v>
      </c>
      <c r="E110" s="116"/>
      <c r="F110" s="137" t="s">
        <v>242</v>
      </c>
      <c r="G110" s="45">
        <v>15000</v>
      </c>
      <c r="H110" s="116">
        <v>1</v>
      </c>
      <c r="I110" s="111">
        <v>19416</v>
      </c>
      <c r="J110" s="120">
        <v>3000</v>
      </c>
      <c r="K110" s="130" t="s">
        <v>210</v>
      </c>
      <c r="L110" s="130">
        <v>55</v>
      </c>
      <c r="M110" s="111">
        <v>19422</v>
      </c>
      <c r="N110" s="121">
        <v>3000</v>
      </c>
      <c r="O110" s="90">
        <v>12</v>
      </c>
      <c r="P110" s="105">
        <f t="shared" ref="P110:P115" si="6">SUM(N110:O110)</f>
        <v>3012</v>
      </c>
      <c r="Q110" s="106">
        <f>G110-N110</f>
        <v>12000</v>
      </c>
    </row>
    <row r="111" spans="1:21" x14ac:dyDescent="0.25">
      <c r="A111" s="107"/>
      <c r="B111" s="115"/>
      <c r="C111" s="116"/>
      <c r="D111" s="117"/>
      <c r="E111" s="116"/>
      <c r="F111" s="118"/>
      <c r="G111" s="44"/>
      <c r="H111" s="116">
        <v>2</v>
      </c>
      <c r="I111" s="111">
        <v>19781</v>
      </c>
      <c r="J111" s="120">
        <v>3000</v>
      </c>
      <c r="K111" s="107" t="s">
        <v>217</v>
      </c>
      <c r="L111" s="107">
        <v>47</v>
      </c>
      <c r="M111" s="111">
        <v>20613</v>
      </c>
      <c r="N111" s="121">
        <v>3000</v>
      </c>
      <c r="O111" s="90">
        <v>1005</v>
      </c>
      <c r="P111" s="105">
        <f t="shared" si="6"/>
        <v>4005</v>
      </c>
      <c r="Q111" s="106">
        <f>Q110-N111</f>
        <v>9000</v>
      </c>
    </row>
    <row r="112" spans="1:21" x14ac:dyDescent="0.25">
      <c r="A112" s="107"/>
      <c r="B112" s="115"/>
      <c r="C112" s="116"/>
      <c r="D112" s="117"/>
      <c r="E112" s="116"/>
      <c r="F112" s="118"/>
      <c r="G112" s="44"/>
      <c r="H112" s="116">
        <v>3</v>
      </c>
      <c r="I112" s="111">
        <v>20146</v>
      </c>
      <c r="J112" s="120">
        <v>3000</v>
      </c>
      <c r="K112" s="107" t="s">
        <v>207</v>
      </c>
      <c r="L112" s="107">
        <v>33</v>
      </c>
      <c r="M112" s="111">
        <v>20641</v>
      </c>
      <c r="N112" s="121">
        <v>1200</v>
      </c>
      <c r="O112" s="90">
        <v>167</v>
      </c>
      <c r="P112" s="105">
        <f t="shared" si="6"/>
        <v>1367</v>
      </c>
      <c r="Q112" s="106">
        <f>Q111-N112</f>
        <v>7800</v>
      </c>
    </row>
    <row r="113" spans="1:21" x14ac:dyDescent="0.25">
      <c r="A113" s="107"/>
      <c r="B113" s="115"/>
      <c r="C113" s="116"/>
      <c r="D113" s="117"/>
      <c r="E113" s="116"/>
      <c r="F113" s="118"/>
      <c r="G113" s="44"/>
      <c r="H113" s="116">
        <v>4</v>
      </c>
      <c r="I113" s="111">
        <v>20511</v>
      </c>
      <c r="J113" s="120">
        <v>3000</v>
      </c>
      <c r="K113" s="107" t="s">
        <v>309</v>
      </c>
      <c r="L113" s="107">
        <v>46</v>
      </c>
      <c r="M113" s="111">
        <v>240869</v>
      </c>
      <c r="N113" s="121">
        <v>600</v>
      </c>
      <c r="O113" s="90">
        <v>135</v>
      </c>
      <c r="P113" s="105">
        <f t="shared" si="6"/>
        <v>735</v>
      </c>
      <c r="Q113" s="106">
        <f>Q112-N113</f>
        <v>7200</v>
      </c>
    </row>
    <row r="114" spans="1:21" x14ac:dyDescent="0.25">
      <c r="A114" s="107"/>
      <c r="B114" s="115"/>
      <c r="C114" s="116"/>
      <c r="D114" s="117"/>
      <c r="E114" s="116"/>
      <c r="F114" s="118"/>
      <c r="G114" s="44"/>
      <c r="H114" s="116">
        <v>5</v>
      </c>
      <c r="I114" s="111">
        <v>20877</v>
      </c>
      <c r="J114" s="120">
        <v>3000</v>
      </c>
      <c r="K114" s="107" t="s">
        <v>307</v>
      </c>
      <c r="L114" s="107">
        <v>15</v>
      </c>
      <c r="M114" s="111">
        <v>240882</v>
      </c>
      <c r="N114" s="121">
        <v>1000</v>
      </c>
      <c r="O114" s="90"/>
      <c r="P114" s="105">
        <f t="shared" si="6"/>
        <v>1000</v>
      </c>
      <c r="Q114" s="106">
        <f>Q113-N114</f>
        <v>6200</v>
      </c>
    </row>
    <row r="115" spans="1:21" x14ac:dyDescent="0.25">
      <c r="A115" s="107"/>
      <c r="B115" s="115"/>
      <c r="C115" s="116"/>
      <c r="D115" s="117"/>
      <c r="E115" s="116"/>
      <c r="F115" s="118"/>
      <c r="G115" s="44"/>
      <c r="H115" s="116"/>
      <c r="I115" s="111"/>
      <c r="J115" s="120"/>
      <c r="K115" s="107" t="s">
        <v>308</v>
      </c>
      <c r="L115" s="107">
        <v>46</v>
      </c>
      <c r="M115" s="111">
        <v>21786</v>
      </c>
      <c r="N115" s="123">
        <v>2000</v>
      </c>
      <c r="O115" s="91"/>
      <c r="P115" s="125">
        <f t="shared" si="6"/>
        <v>2000</v>
      </c>
      <c r="Q115" s="106">
        <f>Q114-N115</f>
        <v>4200</v>
      </c>
    </row>
    <row r="116" spans="1:21" x14ac:dyDescent="0.25">
      <c r="A116" s="107"/>
      <c r="B116" s="115"/>
      <c r="C116" s="116"/>
      <c r="D116" s="117"/>
      <c r="E116" s="116"/>
      <c r="F116" s="118"/>
      <c r="G116" s="44"/>
      <c r="H116" s="116"/>
      <c r="I116" s="111"/>
      <c r="J116" s="120"/>
      <c r="K116" s="107" t="s">
        <v>541</v>
      </c>
      <c r="L116" s="107">
        <v>11</v>
      </c>
      <c r="M116" s="111">
        <v>21840</v>
      </c>
      <c r="N116" s="123">
        <v>1000</v>
      </c>
      <c r="O116" s="91"/>
      <c r="P116" s="125">
        <f t="shared" ref="P116" si="7">SUM(N116:O116)</f>
        <v>1000</v>
      </c>
      <c r="Q116" s="106">
        <f t="shared" ref="Q116" si="8">Q115-N116</f>
        <v>3200</v>
      </c>
    </row>
    <row r="117" spans="1:21" x14ac:dyDescent="0.25">
      <c r="A117" s="107"/>
      <c r="B117" s="115"/>
      <c r="C117" s="116"/>
      <c r="D117" s="117"/>
      <c r="E117" s="116"/>
      <c r="F117" s="118"/>
      <c r="G117" s="44"/>
      <c r="H117" s="116"/>
      <c r="I117" s="111"/>
      <c r="J117" s="120"/>
      <c r="K117" s="107"/>
      <c r="L117" s="107"/>
      <c r="M117" s="111"/>
      <c r="N117" s="123"/>
      <c r="O117" s="124"/>
      <c r="P117" s="125"/>
      <c r="Q117" s="126"/>
    </row>
    <row r="118" spans="1:21" ht="16.5" thickBot="1" x14ac:dyDescent="0.3">
      <c r="A118" s="107"/>
      <c r="B118" s="115"/>
      <c r="C118" s="116"/>
      <c r="D118" s="117"/>
      <c r="E118" s="116"/>
      <c r="F118" s="118"/>
      <c r="G118" s="44"/>
      <c r="H118" s="116"/>
      <c r="I118" s="111"/>
      <c r="J118" s="120"/>
      <c r="K118" s="107"/>
      <c r="L118" s="107"/>
      <c r="M118" s="107"/>
      <c r="N118" s="392" t="s">
        <v>67</v>
      </c>
      <c r="O118" s="392">
        <f>SUM(O110:O114)</f>
        <v>1319</v>
      </c>
      <c r="P118" s="393">
        <f>SUM(P110:P113)</f>
        <v>9119</v>
      </c>
      <c r="Q118" s="394">
        <f>Q116</f>
        <v>3200</v>
      </c>
    </row>
    <row r="119" spans="1:21" ht="18" thickTop="1" thickBot="1" x14ac:dyDescent="0.3">
      <c r="A119" s="142" t="s">
        <v>244</v>
      </c>
      <c r="B119" s="143"/>
      <c r="C119" s="144"/>
      <c r="D119" s="144"/>
      <c r="E119" s="144"/>
      <c r="F119" s="144"/>
      <c r="G119" s="145"/>
      <c r="H119" s="144"/>
      <c r="I119" s="144"/>
      <c r="J119" s="144"/>
      <c r="K119" s="146"/>
      <c r="L119" s="146"/>
      <c r="M119" s="146"/>
      <c r="N119" s="147"/>
      <c r="O119" s="148"/>
      <c r="P119" s="148"/>
      <c r="Q119" s="395">
        <f>SUM(Q118,Q109,Q103,Q96,Q90,Q84,Q78,Q72,Q66,Q60,Q54,Q48,Q42,Q36,Q24,Q17,Q11)</f>
        <v>189500</v>
      </c>
      <c r="R119" s="149"/>
      <c r="S119" s="149"/>
      <c r="T119" s="149"/>
      <c r="U119" s="150"/>
    </row>
    <row r="120" spans="1:21" ht="16.5" thickTop="1" x14ac:dyDescent="0.25">
      <c r="J120" s="114"/>
      <c r="N120" s="154"/>
      <c r="O120" s="155"/>
      <c r="P120" s="154"/>
      <c r="R120" s="114"/>
      <c r="S120" s="114"/>
      <c r="T120" s="114"/>
    </row>
    <row r="121" spans="1:21" x14ac:dyDescent="0.25">
      <c r="G121" s="157"/>
      <c r="J121" s="114"/>
      <c r="M121" s="158"/>
      <c r="P121" s="154"/>
      <c r="R121" s="114"/>
      <c r="S121" s="114"/>
      <c r="T121" s="150"/>
    </row>
    <row r="122" spans="1:21" x14ac:dyDescent="0.25">
      <c r="J122" s="114"/>
      <c r="M122" s="158"/>
      <c r="P122" s="154"/>
      <c r="R122" s="114"/>
      <c r="S122" s="114"/>
      <c r="T122" s="114"/>
    </row>
    <row r="123" spans="1:21" x14ac:dyDescent="0.25">
      <c r="J123" s="114"/>
      <c r="M123" s="158"/>
      <c r="P123" s="154"/>
    </row>
    <row r="124" spans="1:21" x14ac:dyDescent="0.25">
      <c r="J124" s="114"/>
      <c r="P124" s="154"/>
    </row>
    <row r="125" spans="1:21" x14ac:dyDescent="0.25">
      <c r="J125" s="114"/>
      <c r="M125" s="158"/>
    </row>
    <row r="126" spans="1:21" x14ac:dyDescent="0.25">
      <c r="J126" s="114"/>
    </row>
    <row r="127" spans="1:21" s="151" customFormat="1" x14ac:dyDescent="0.25">
      <c r="B127" s="152"/>
      <c r="C127" s="92"/>
      <c r="D127" s="92"/>
      <c r="E127" s="92"/>
      <c r="F127" s="92"/>
      <c r="G127" s="153"/>
      <c r="H127" s="92"/>
      <c r="I127" s="92"/>
      <c r="J127" s="114"/>
      <c r="N127" s="156"/>
      <c r="O127" s="156"/>
      <c r="P127" s="156"/>
      <c r="Q127" s="156"/>
    </row>
    <row r="128" spans="1:21" s="151" customFormat="1" x14ac:dyDescent="0.25">
      <c r="B128" s="152"/>
      <c r="C128" s="92"/>
      <c r="D128" s="92"/>
      <c r="E128" s="92"/>
      <c r="F128" s="92"/>
      <c r="G128" s="153"/>
      <c r="H128" s="92"/>
      <c r="I128" s="92"/>
      <c r="J128" s="114"/>
      <c r="N128" s="156"/>
      <c r="O128" s="156"/>
      <c r="P128" s="156"/>
      <c r="Q128" s="156"/>
    </row>
    <row r="129" spans="2:17" s="151" customFormat="1" x14ac:dyDescent="0.25">
      <c r="B129" s="152"/>
      <c r="C129" s="92"/>
      <c r="D129" s="92"/>
      <c r="E129" s="92"/>
      <c r="F129" s="92"/>
      <c r="G129" s="153"/>
      <c r="H129" s="92"/>
      <c r="I129" s="92"/>
      <c r="J129" s="114"/>
      <c r="N129" s="156"/>
      <c r="O129" s="156"/>
      <c r="P129" s="156"/>
      <c r="Q129" s="156"/>
    </row>
    <row r="130" spans="2:17" s="151" customFormat="1" x14ac:dyDescent="0.25">
      <c r="B130" s="152"/>
      <c r="C130" s="92"/>
      <c r="D130" s="92"/>
      <c r="E130" s="92"/>
      <c r="F130" s="92"/>
      <c r="G130" s="153"/>
      <c r="H130" s="92"/>
      <c r="I130" s="92"/>
      <c r="J130" s="114"/>
      <c r="N130" s="156"/>
      <c r="O130" s="156"/>
      <c r="P130" s="156"/>
      <c r="Q130" s="156"/>
    </row>
    <row r="131" spans="2:17" s="151" customFormat="1" x14ac:dyDescent="0.25">
      <c r="B131" s="152"/>
      <c r="C131" s="92"/>
      <c r="D131" s="92"/>
      <c r="E131" s="92"/>
      <c r="F131" s="92"/>
      <c r="G131" s="153"/>
      <c r="H131" s="92"/>
      <c r="I131" s="92"/>
      <c r="J131" s="114"/>
      <c r="N131" s="156"/>
      <c r="O131" s="156"/>
      <c r="P131" s="156"/>
      <c r="Q131" s="156"/>
    </row>
    <row r="132" spans="2:17" s="151" customFormat="1" x14ac:dyDescent="0.25">
      <c r="B132" s="152"/>
      <c r="C132" s="92"/>
      <c r="D132" s="92"/>
      <c r="E132" s="92"/>
      <c r="F132" s="92"/>
      <c r="G132" s="153"/>
      <c r="H132" s="92"/>
      <c r="I132" s="92"/>
      <c r="J132" s="114"/>
      <c r="N132" s="156"/>
      <c r="O132" s="156"/>
      <c r="P132" s="156"/>
      <c r="Q132" s="156"/>
    </row>
    <row r="133" spans="2:17" s="151" customFormat="1" x14ac:dyDescent="0.25">
      <c r="B133" s="152"/>
      <c r="C133" s="92"/>
      <c r="D133" s="92"/>
      <c r="E133" s="92"/>
      <c r="F133" s="92"/>
      <c r="G133" s="153"/>
      <c r="H133" s="92"/>
      <c r="I133" s="92"/>
      <c r="J133" s="114"/>
      <c r="N133" s="156"/>
      <c r="O133" s="156"/>
      <c r="P133" s="156"/>
      <c r="Q133" s="156"/>
    </row>
    <row r="134" spans="2:17" s="151" customFormat="1" x14ac:dyDescent="0.25">
      <c r="B134" s="152"/>
      <c r="C134" s="92"/>
      <c r="D134" s="92"/>
      <c r="E134" s="92"/>
      <c r="F134" s="92"/>
      <c r="G134" s="153"/>
      <c r="H134" s="92"/>
      <c r="I134" s="92"/>
      <c r="J134" s="114"/>
      <c r="N134" s="156"/>
      <c r="O134" s="156"/>
      <c r="P134" s="156"/>
      <c r="Q134" s="156"/>
    </row>
    <row r="135" spans="2:17" s="151" customFormat="1" x14ac:dyDescent="0.25">
      <c r="B135" s="152"/>
      <c r="C135" s="92"/>
      <c r="D135" s="92"/>
      <c r="E135" s="92"/>
      <c r="F135" s="92"/>
      <c r="G135" s="153"/>
      <c r="H135" s="92"/>
      <c r="I135" s="92"/>
      <c r="J135" s="114"/>
      <c r="N135" s="156"/>
      <c r="O135" s="156"/>
      <c r="P135" s="156"/>
      <c r="Q135" s="156"/>
    </row>
  </sheetData>
  <mergeCells count="15">
    <mergeCell ref="A1:Q1"/>
    <mergeCell ref="A2:Q2"/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O5"/>
    <mergeCell ref="P5:Q5"/>
  </mergeCells>
  <pageMargins left="0.24" right="0.11811023622047245" top="0.32" bottom="0.26" header="0.22" footer="0.12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2"/>
  <sheetViews>
    <sheetView topLeftCell="A18" workbookViewId="0">
      <selection activeCell="K8" sqref="K8"/>
    </sheetView>
  </sheetViews>
  <sheetFormatPr defaultRowHeight="20.25" x14ac:dyDescent="0.3"/>
  <cols>
    <col min="1" max="1" width="11.140625" style="13" customWidth="1"/>
    <col min="2" max="3" width="22.140625" style="13" customWidth="1"/>
    <col min="4" max="4" width="19" style="13" customWidth="1"/>
    <col min="5" max="6" width="22.140625" style="13" customWidth="1"/>
    <col min="7" max="7" width="18.42578125" style="13" customWidth="1"/>
    <col min="8" max="16384" width="9.140625" style="13"/>
  </cols>
  <sheetData>
    <row r="1" spans="1:7" ht="27.75" customHeight="1" x14ac:dyDescent="0.4">
      <c r="A1" s="490" t="s">
        <v>0</v>
      </c>
      <c r="B1" s="490"/>
      <c r="C1" s="490"/>
      <c r="D1" s="490"/>
      <c r="E1" s="490"/>
      <c r="F1" s="490"/>
      <c r="G1" s="490"/>
    </row>
    <row r="2" spans="1:7" ht="27.75" customHeight="1" x14ac:dyDescent="0.4">
      <c r="A2" s="490" t="s">
        <v>68</v>
      </c>
      <c r="B2" s="490"/>
      <c r="C2" s="490"/>
      <c r="D2" s="490"/>
      <c r="E2" s="490"/>
      <c r="F2" s="490"/>
      <c r="G2" s="490"/>
    </row>
    <row r="3" spans="1:7" ht="27.75" customHeight="1" x14ac:dyDescent="0.4">
      <c r="A3" s="490" t="s">
        <v>458</v>
      </c>
      <c r="B3" s="490"/>
      <c r="C3" s="490"/>
      <c r="D3" s="490"/>
      <c r="E3" s="490"/>
      <c r="F3" s="490"/>
      <c r="G3" s="490"/>
    </row>
    <row r="4" spans="1:7" x14ac:dyDescent="0.3">
      <c r="A4" s="14" t="s">
        <v>168</v>
      </c>
    </row>
    <row r="5" spans="1:7" s="48" customFormat="1" ht="18.75" x14ac:dyDescent="0.3">
      <c r="A5" s="47" t="s">
        <v>102</v>
      </c>
      <c r="B5" s="47" t="s">
        <v>103</v>
      </c>
      <c r="C5" s="47" t="s">
        <v>104</v>
      </c>
      <c r="D5" s="47" t="s">
        <v>105</v>
      </c>
      <c r="E5" s="47" t="s">
        <v>106</v>
      </c>
      <c r="F5" s="47" t="s">
        <v>107</v>
      </c>
      <c r="G5" s="47" t="s">
        <v>44</v>
      </c>
    </row>
    <row r="6" spans="1:7" s="400" customFormat="1" ht="75" x14ac:dyDescent="0.5">
      <c r="A6" s="396" t="s">
        <v>463</v>
      </c>
      <c r="B6" s="396" t="s">
        <v>99</v>
      </c>
      <c r="C6" s="396" t="s">
        <v>100</v>
      </c>
      <c r="D6" s="396" t="s">
        <v>311</v>
      </c>
      <c r="E6" s="396" t="s">
        <v>461</v>
      </c>
      <c r="F6" s="396" t="s">
        <v>462</v>
      </c>
      <c r="G6" s="399">
        <v>461000</v>
      </c>
    </row>
    <row r="7" spans="1:7" s="400" customFormat="1" ht="37.5" x14ac:dyDescent="0.5">
      <c r="A7" s="401" t="s">
        <v>108</v>
      </c>
      <c r="B7" s="396" t="s">
        <v>99</v>
      </c>
      <c r="C7" s="396" t="s">
        <v>100</v>
      </c>
      <c r="D7" s="396" t="s">
        <v>311</v>
      </c>
      <c r="E7" s="396" t="s">
        <v>114</v>
      </c>
      <c r="F7" s="396" t="s">
        <v>464</v>
      </c>
      <c r="G7" s="399">
        <v>392000</v>
      </c>
    </row>
    <row r="8" spans="1:7" s="400" customFormat="1" ht="37.5" x14ac:dyDescent="0.5">
      <c r="A8" s="401" t="s">
        <v>108</v>
      </c>
      <c r="B8" s="396" t="s">
        <v>99</v>
      </c>
      <c r="C8" s="396" t="s">
        <v>100</v>
      </c>
      <c r="D8" s="396" t="s">
        <v>311</v>
      </c>
      <c r="E8" s="396" t="s">
        <v>114</v>
      </c>
      <c r="F8" s="396" t="s">
        <v>467</v>
      </c>
      <c r="G8" s="399">
        <v>134000</v>
      </c>
    </row>
    <row r="9" spans="1:7" s="400" customFormat="1" ht="37.5" x14ac:dyDescent="0.5">
      <c r="A9" s="401" t="s">
        <v>108</v>
      </c>
      <c r="B9" s="396" t="s">
        <v>465</v>
      </c>
      <c r="C9" s="396" t="s">
        <v>466</v>
      </c>
      <c r="D9" s="396" t="s">
        <v>418</v>
      </c>
      <c r="E9" s="396" t="s">
        <v>52</v>
      </c>
      <c r="F9" s="396" t="s">
        <v>468</v>
      </c>
      <c r="G9" s="399">
        <v>587000</v>
      </c>
    </row>
    <row r="10" spans="1:7" s="400" customFormat="1" ht="37.5" x14ac:dyDescent="0.5">
      <c r="A10" s="401" t="s">
        <v>108</v>
      </c>
      <c r="B10" s="396" t="s">
        <v>96</v>
      </c>
      <c r="C10" s="396" t="s">
        <v>98</v>
      </c>
      <c r="D10" s="396" t="s">
        <v>311</v>
      </c>
      <c r="E10" s="396" t="s">
        <v>115</v>
      </c>
      <c r="F10" s="396" t="s">
        <v>116</v>
      </c>
      <c r="G10" s="399">
        <v>40000</v>
      </c>
    </row>
    <row r="11" spans="1:7" s="400" customFormat="1" ht="37.5" x14ac:dyDescent="0.5">
      <c r="A11" s="401" t="s">
        <v>108</v>
      </c>
      <c r="B11" s="396" t="s">
        <v>95</v>
      </c>
      <c r="C11" s="396" t="s">
        <v>310</v>
      </c>
      <c r="D11" s="396" t="s">
        <v>311</v>
      </c>
      <c r="E11" s="396" t="s">
        <v>115</v>
      </c>
      <c r="F11" s="396" t="s">
        <v>312</v>
      </c>
      <c r="G11" s="399">
        <v>69900</v>
      </c>
    </row>
    <row r="12" spans="1:7" s="400" customFormat="1" ht="56.25" x14ac:dyDescent="0.5">
      <c r="A12" s="401" t="s">
        <v>108</v>
      </c>
      <c r="B12" s="396" t="s">
        <v>465</v>
      </c>
      <c r="C12" s="396" t="s">
        <v>466</v>
      </c>
      <c r="D12" s="396" t="s">
        <v>109</v>
      </c>
      <c r="E12" s="396" t="s">
        <v>472</v>
      </c>
      <c r="F12" s="396"/>
      <c r="G12" s="399">
        <v>262230</v>
      </c>
    </row>
    <row r="13" spans="1:7" s="400" customFormat="1" ht="56.25" x14ac:dyDescent="0.5">
      <c r="A13" s="401" t="s">
        <v>108</v>
      </c>
      <c r="B13" s="396" t="s">
        <v>465</v>
      </c>
      <c r="C13" s="396" t="s">
        <v>94</v>
      </c>
      <c r="D13" s="396" t="s">
        <v>109</v>
      </c>
      <c r="E13" s="396" t="s">
        <v>472</v>
      </c>
      <c r="F13" s="396"/>
      <c r="G13" s="399">
        <v>116710</v>
      </c>
    </row>
    <row r="14" spans="1:7" s="400" customFormat="1" ht="56.25" x14ac:dyDescent="0.5">
      <c r="A14" s="401" t="s">
        <v>108</v>
      </c>
      <c r="B14" s="396" t="s">
        <v>469</v>
      </c>
      <c r="C14" s="396" t="s">
        <v>310</v>
      </c>
      <c r="D14" s="396" t="s">
        <v>109</v>
      </c>
      <c r="E14" s="396" t="s">
        <v>472</v>
      </c>
      <c r="F14" s="396"/>
      <c r="G14" s="399">
        <v>32700</v>
      </c>
    </row>
    <row r="15" spans="1:7" s="400" customFormat="1" ht="56.25" x14ac:dyDescent="0.5">
      <c r="A15" s="401" t="s">
        <v>108</v>
      </c>
      <c r="B15" s="396" t="s">
        <v>95</v>
      </c>
      <c r="C15" s="396" t="s">
        <v>471</v>
      </c>
      <c r="D15" s="396" t="s">
        <v>109</v>
      </c>
      <c r="E15" s="396" t="s">
        <v>472</v>
      </c>
      <c r="F15" s="396"/>
      <c r="G15" s="399">
        <v>47830</v>
      </c>
    </row>
    <row r="16" spans="1:7" s="400" customFormat="1" ht="56.25" x14ac:dyDescent="0.5">
      <c r="A16" s="401" t="s">
        <v>108</v>
      </c>
      <c r="B16" s="396" t="s">
        <v>95</v>
      </c>
      <c r="C16" s="396" t="s">
        <v>310</v>
      </c>
      <c r="D16" s="396" t="s">
        <v>109</v>
      </c>
      <c r="E16" s="396" t="s">
        <v>472</v>
      </c>
      <c r="F16" s="396"/>
      <c r="G16" s="399">
        <v>161440</v>
      </c>
    </row>
    <row r="17" spans="1:7" s="400" customFormat="1" ht="56.25" x14ac:dyDescent="0.5">
      <c r="A17" s="401" t="s">
        <v>108</v>
      </c>
      <c r="B17" s="397" t="s">
        <v>96</v>
      </c>
      <c r="C17" s="396" t="s">
        <v>97</v>
      </c>
      <c r="D17" s="396" t="s">
        <v>109</v>
      </c>
      <c r="E17" s="396" t="s">
        <v>472</v>
      </c>
      <c r="F17" s="396"/>
      <c r="G17" s="399">
        <v>99700</v>
      </c>
    </row>
    <row r="18" spans="1:7" s="400" customFormat="1" ht="56.25" x14ac:dyDescent="0.5">
      <c r="A18" s="401" t="s">
        <v>108</v>
      </c>
      <c r="B18" s="397" t="s">
        <v>96</v>
      </c>
      <c r="C18" s="396" t="s">
        <v>98</v>
      </c>
      <c r="D18" s="396" t="s">
        <v>311</v>
      </c>
      <c r="E18" s="396" t="s">
        <v>114</v>
      </c>
      <c r="F18" s="396" t="s">
        <v>473</v>
      </c>
      <c r="G18" s="399">
        <v>107000</v>
      </c>
    </row>
    <row r="19" spans="1:7" s="400" customFormat="1" ht="37.5" x14ac:dyDescent="0.5">
      <c r="A19" s="401" t="s">
        <v>108</v>
      </c>
      <c r="B19" s="396" t="s">
        <v>99</v>
      </c>
      <c r="C19" s="398" t="s">
        <v>100</v>
      </c>
      <c r="D19" s="396" t="s">
        <v>311</v>
      </c>
      <c r="E19" s="396" t="s">
        <v>114</v>
      </c>
      <c r="F19" s="396" t="s">
        <v>474</v>
      </c>
      <c r="G19" s="399">
        <v>92000</v>
      </c>
    </row>
    <row r="20" spans="1:7" s="400" customFormat="1" ht="56.25" x14ac:dyDescent="0.5">
      <c r="A20" s="401" t="s">
        <v>108</v>
      </c>
      <c r="B20" s="396" t="s">
        <v>470</v>
      </c>
      <c r="C20" s="396" t="s">
        <v>101</v>
      </c>
      <c r="D20" s="396" t="s">
        <v>109</v>
      </c>
      <c r="E20" s="396" t="s">
        <v>472</v>
      </c>
      <c r="F20" s="396"/>
      <c r="G20" s="399">
        <v>25970</v>
      </c>
    </row>
    <row r="21" spans="1:7" x14ac:dyDescent="0.3">
      <c r="A21" s="513" t="s">
        <v>67</v>
      </c>
      <c r="B21" s="513"/>
      <c r="C21" s="513"/>
      <c r="D21" s="513"/>
      <c r="E21" s="513"/>
      <c r="F21" s="513"/>
      <c r="G21" s="54">
        <f>SUM(G6:G20)</f>
        <v>2629480</v>
      </c>
    </row>
    <row r="29" spans="1:7" x14ac:dyDescent="0.3">
      <c r="A29" s="14" t="s">
        <v>437</v>
      </c>
    </row>
    <row r="30" spans="1:7" s="48" customFormat="1" ht="18.75" x14ac:dyDescent="0.3">
      <c r="A30" s="47" t="s">
        <v>102</v>
      </c>
      <c r="B30" s="47" t="s">
        <v>103</v>
      </c>
      <c r="C30" s="47" t="s">
        <v>104</v>
      </c>
      <c r="D30" s="47" t="s">
        <v>105</v>
      </c>
      <c r="E30" s="47" t="s">
        <v>106</v>
      </c>
      <c r="F30" s="47" t="s">
        <v>107</v>
      </c>
      <c r="G30" s="47" t="s">
        <v>44</v>
      </c>
    </row>
    <row r="31" spans="1:7" s="48" customFormat="1" ht="18.75" x14ac:dyDescent="0.3">
      <c r="A31" s="49" t="s">
        <v>108</v>
      </c>
      <c r="B31" s="50" t="s">
        <v>470</v>
      </c>
      <c r="C31" s="51" t="s">
        <v>101</v>
      </c>
      <c r="D31" s="52" t="s">
        <v>109</v>
      </c>
      <c r="E31" s="52" t="s">
        <v>113</v>
      </c>
      <c r="F31" s="52"/>
      <c r="G31" s="53">
        <v>3000</v>
      </c>
    </row>
    <row r="32" spans="1:7" x14ac:dyDescent="0.3">
      <c r="A32" s="513" t="s">
        <v>67</v>
      </c>
      <c r="B32" s="513"/>
      <c r="C32" s="513"/>
      <c r="D32" s="513"/>
      <c r="E32" s="513"/>
      <c r="F32" s="513"/>
      <c r="G32" s="54">
        <f>SUM(G29:G31)</f>
        <v>3000</v>
      </c>
    </row>
  </sheetData>
  <mergeCells count="5">
    <mergeCell ref="A32:F32"/>
    <mergeCell ref="A1:G1"/>
    <mergeCell ref="A2:G2"/>
    <mergeCell ref="A3:G3"/>
    <mergeCell ref="A21:F21"/>
  </mergeCells>
  <pageMargins left="0.47244094488188981" right="0.11811023622047245" top="0.55118110236220474" bottom="0.35433070866141736" header="0.31496062992125984" footer="0.31496062992125984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4"/>
  <sheetViews>
    <sheetView topLeftCell="A4" workbookViewId="0">
      <selection activeCell="L10" sqref="L10"/>
    </sheetView>
  </sheetViews>
  <sheetFormatPr defaultRowHeight="20.25" x14ac:dyDescent="0.3"/>
  <cols>
    <col min="1" max="1" width="11.85546875" style="2" customWidth="1"/>
    <col min="2" max="2" width="18" style="2" customWidth="1"/>
    <col min="3" max="3" width="17.140625" style="2" customWidth="1"/>
    <col min="4" max="5" width="12.28515625" style="2" customWidth="1"/>
    <col min="6" max="6" width="19.7109375" style="2" customWidth="1"/>
    <col min="7" max="7" width="14.42578125" style="10" customWidth="1"/>
    <col min="8" max="16384" width="9.140625" style="2"/>
  </cols>
  <sheetData>
    <row r="1" spans="1:7" ht="27.75" customHeight="1" x14ac:dyDescent="0.4">
      <c r="A1" s="490" t="s">
        <v>0</v>
      </c>
      <c r="B1" s="490"/>
      <c r="C1" s="490"/>
      <c r="D1" s="490"/>
      <c r="E1" s="490"/>
      <c r="F1" s="490"/>
      <c r="G1" s="490"/>
    </row>
    <row r="2" spans="1:7" ht="27.75" customHeight="1" x14ac:dyDescent="0.4">
      <c r="A2" s="490" t="s">
        <v>68</v>
      </c>
      <c r="B2" s="490"/>
      <c r="C2" s="490"/>
      <c r="D2" s="490"/>
      <c r="E2" s="490"/>
      <c r="F2" s="490"/>
      <c r="G2" s="490"/>
    </row>
    <row r="3" spans="1:7" ht="27.75" customHeight="1" x14ac:dyDescent="0.4">
      <c r="A3" s="490" t="s">
        <v>458</v>
      </c>
      <c r="B3" s="490"/>
      <c r="C3" s="490"/>
      <c r="D3" s="490"/>
      <c r="E3" s="490"/>
      <c r="F3" s="490"/>
      <c r="G3" s="490"/>
    </row>
    <row r="4" spans="1:7" x14ac:dyDescent="0.3">
      <c r="A4" s="6" t="s">
        <v>165</v>
      </c>
    </row>
    <row r="5" spans="1:7" x14ac:dyDescent="0.3">
      <c r="B5" s="55" t="s">
        <v>118</v>
      </c>
      <c r="E5" s="10"/>
      <c r="F5" s="12">
        <f>[4]ก.ย.!$E$6+[4]ก.ย.!$E$7</f>
        <v>40666.459999999992</v>
      </c>
    </row>
    <row r="6" spans="1:7" x14ac:dyDescent="0.3">
      <c r="B6" s="55" t="s">
        <v>119</v>
      </c>
      <c r="E6" s="10"/>
      <c r="F6" s="12">
        <f>[4]ก.ย.!$E$8</f>
        <v>20028.54</v>
      </c>
    </row>
    <row r="7" spans="1:7" x14ac:dyDescent="0.3">
      <c r="B7" s="55" t="s">
        <v>120</v>
      </c>
      <c r="E7" s="10"/>
      <c r="F7" s="12">
        <f>[4]ก.ย.!$E$9</f>
        <v>1752.35</v>
      </c>
    </row>
    <row r="8" spans="1:7" x14ac:dyDescent="0.3">
      <c r="B8" s="55" t="s">
        <v>121</v>
      </c>
      <c r="E8" s="10"/>
      <c r="F8" s="12">
        <f>[4]ก.ย.!$E$10</f>
        <v>597919</v>
      </c>
      <c r="G8" s="26"/>
    </row>
    <row r="9" spans="1:7" x14ac:dyDescent="0.3">
      <c r="B9" s="55" t="s">
        <v>366</v>
      </c>
      <c r="E9" s="10"/>
      <c r="F9" s="12">
        <f>[4]ก.ย.!$E$14</f>
        <v>388561</v>
      </c>
      <c r="G9" s="26"/>
    </row>
    <row r="10" spans="1:7" x14ac:dyDescent="0.3">
      <c r="B10" s="55" t="s">
        <v>313</v>
      </c>
      <c r="E10" s="10"/>
      <c r="F10" s="12">
        <f>[4]ก.ย.!$E$11</f>
        <v>38.800000000000182</v>
      </c>
      <c r="G10" s="9"/>
    </row>
    <row r="11" spans="1:7" x14ac:dyDescent="0.3">
      <c r="B11" s="55" t="s">
        <v>314</v>
      </c>
      <c r="E11" s="10"/>
      <c r="F11" s="12">
        <f>[4]ก.ย.!$E$12</f>
        <v>8654.5600000000013</v>
      </c>
      <c r="G11" s="26"/>
    </row>
    <row r="12" spans="1:7" x14ac:dyDescent="0.3">
      <c r="B12" s="2" t="s">
        <v>167</v>
      </c>
      <c r="E12" s="10"/>
      <c r="F12" s="12">
        <f>[4]ก.ย.!$E$13</f>
        <v>968136.01</v>
      </c>
      <c r="G12" s="9"/>
    </row>
    <row r="13" spans="1:7" ht="21" thickBot="1" x14ac:dyDescent="0.35">
      <c r="B13" s="6" t="s">
        <v>67</v>
      </c>
      <c r="C13" s="6"/>
      <c r="D13" s="6"/>
      <c r="E13" s="26"/>
      <c r="F13" s="29">
        <f>SUM(F5:F12)</f>
        <v>2025756.7200000002</v>
      </c>
      <c r="G13" s="9"/>
    </row>
    <row r="14" spans="1:7" ht="21" thickTop="1" x14ac:dyDescent="0.3">
      <c r="F14" s="9"/>
      <c r="G14" s="26"/>
    </row>
  </sheetData>
  <mergeCells count="3">
    <mergeCell ref="A1:G1"/>
    <mergeCell ref="A2:G2"/>
    <mergeCell ref="A3:G3"/>
  </mergeCells>
  <pageMargins left="0.49" right="0.15" top="0.7" bottom="0.23" header="0.3" footer="0.15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6"/>
  <sheetViews>
    <sheetView topLeftCell="A16" workbookViewId="0">
      <selection activeCell="H29" sqref="H29"/>
    </sheetView>
  </sheetViews>
  <sheetFormatPr defaultRowHeight="20.25" x14ac:dyDescent="0.3"/>
  <cols>
    <col min="1" max="1" width="6.5703125" style="55" customWidth="1"/>
    <col min="2" max="2" width="5.42578125" style="55" customWidth="1"/>
    <col min="3" max="3" width="43.28515625" style="55" customWidth="1"/>
    <col min="4" max="4" width="16.28515625" style="55" customWidth="1"/>
    <col min="5" max="5" width="17" style="55" customWidth="1"/>
    <col min="6" max="6" width="17.85546875" style="55" customWidth="1"/>
    <col min="7" max="7" width="9.140625" style="59"/>
    <col min="8" max="8" width="24.42578125" style="59" customWidth="1"/>
    <col min="9" max="10" width="18.28515625" style="59" customWidth="1"/>
    <col min="11" max="16384" width="9.140625" style="59"/>
  </cols>
  <sheetData>
    <row r="1" spans="1:10" s="2" customFormat="1" ht="27.75" customHeight="1" x14ac:dyDescent="0.4">
      <c r="A1" s="490" t="s">
        <v>0</v>
      </c>
      <c r="B1" s="490"/>
      <c r="C1" s="490"/>
      <c r="D1" s="490"/>
      <c r="E1" s="490"/>
      <c r="F1" s="490"/>
    </row>
    <row r="2" spans="1:10" s="2" customFormat="1" ht="27.75" customHeight="1" x14ac:dyDescent="0.4">
      <c r="A2" s="490" t="s">
        <v>68</v>
      </c>
      <c r="B2" s="490"/>
      <c r="C2" s="490"/>
      <c r="D2" s="490"/>
      <c r="E2" s="490"/>
      <c r="F2" s="490"/>
    </row>
    <row r="3" spans="1:10" s="2" customFormat="1" ht="27.75" customHeight="1" x14ac:dyDescent="0.4">
      <c r="A3" s="490" t="s">
        <v>458</v>
      </c>
      <c r="B3" s="490"/>
      <c r="C3" s="490"/>
      <c r="D3" s="490"/>
      <c r="E3" s="490"/>
      <c r="F3" s="490"/>
    </row>
    <row r="4" spans="1:10" s="57" customFormat="1" ht="19.5" customHeight="1" x14ac:dyDescent="0.3">
      <c r="A4" s="55" t="s">
        <v>305</v>
      </c>
      <c r="B4" s="55"/>
      <c r="C4" s="55"/>
      <c r="D4" s="55"/>
      <c r="E4" s="55"/>
      <c r="F4" s="55"/>
    </row>
    <row r="5" spans="1:10" s="57" customFormat="1" x14ac:dyDescent="0.3">
      <c r="A5" s="78" t="s">
        <v>475</v>
      </c>
      <c r="B5" s="78"/>
      <c r="C5" s="55"/>
      <c r="D5" s="55"/>
      <c r="E5" s="55"/>
      <c r="F5" s="77">
        <v>11190920.91</v>
      </c>
      <c r="H5" s="56" t="s">
        <v>371</v>
      </c>
    </row>
    <row r="6" spans="1:10" s="57" customFormat="1" x14ac:dyDescent="0.3">
      <c r="A6" s="295"/>
      <c r="B6" s="55" t="s">
        <v>126</v>
      </c>
      <c r="C6" s="55"/>
      <c r="D6" s="77">
        <f>'[5]30 กย'!$D$36</f>
        <v>553647.61000000685</v>
      </c>
      <c r="E6" s="77"/>
      <c r="F6" s="65"/>
      <c r="H6" s="56" t="s">
        <v>537</v>
      </c>
      <c r="I6" s="348">
        <v>3199</v>
      </c>
      <c r="J6" s="159"/>
    </row>
    <row r="7" spans="1:10" s="57" customFormat="1" x14ac:dyDescent="0.3">
      <c r="A7" s="55"/>
      <c r="B7" s="55"/>
      <c r="C7" s="55" t="s">
        <v>373</v>
      </c>
      <c r="D7" s="77"/>
      <c r="E7" s="77"/>
      <c r="F7" s="65"/>
      <c r="H7" s="56" t="s">
        <v>538</v>
      </c>
      <c r="I7" s="348">
        <v>10209.620000000001</v>
      </c>
      <c r="J7" s="159"/>
    </row>
    <row r="8" spans="1:10" s="57" customFormat="1" x14ac:dyDescent="0.3">
      <c r="A8" s="55"/>
      <c r="B8" s="55"/>
      <c r="C8" s="55" t="s">
        <v>127</v>
      </c>
      <c r="D8" s="77">
        <f>D6*25/100</f>
        <v>138411.90250000171</v>
      </c>
      <c r="E8" s="77"/>
      <c r="F8" s="65"/>
      <c r="H8" s="56" t="s">
        <v>539</v>
      </c>
      <c r="I8" s="348">
        <v>24000</v>
      </c>
      <c r="J8" s="159"/>
    </row>
    <row r="9" spans="1:10" s="57" customFormat="1" x14ac:dyDescent="0.3">
      <c r="A9" s="55"/>
      <c r="B9" s="295" t="s">
        <v>122</v>
      </c>
      <c r="C9" s="55" t="s">
        <v>128</v>
      </c>
      <c r="D9" s="55"/>
      <c r="E9" s="77">
        <f>D6-D8</f>
        <v>415235.70750000514</v>
      </c>
      <c r="F9" s="65"/>
      <c r="H9" s="56" t="s">
        <v>372</v>
      </c>
      <c r="I9" s="348">
        <v>2174.58</v>
      </c>
      <c r="J9" s="159"/>
    </row>
    <row r="10" spans="1:10" s="57" customFormat="1" x14ac:dyDescent="0.3">
      <c r="A10" s="55"/>
      <c r="B10" s="78"/>
      <c r="C10" s="55" t="s">
        <v>169</v>
      </c>
      <c r="D10" s="59"/>
      <c r="E10" s="77">
        <f>I8+I9+I10</f>
        <v>44193.04</v>
      </c>
      <c r="F10" s="296"/>
      <c r="H10" s="56" t="s">
        <v>540</v>
      </c>
      <c r="I10" s="348">
        <v>18018.46</v>
      </c>
      <c r="J10" s="159"/>
    </row>
    <row r="11" spans="1:10" s="57" customFormat="1" x14ac:dyDescent="0.3">
      <c r="A11" s="55"/>
      <c r="B11" s="78"/>
      <c r="C11" s="55" t="s">
        <v>477</v>
      </c>
      <c r="D11" s="59"/>
      <c r="E11" s="77">
        <f>I6+I7+I11</f>
        <v>13657.980000000001</v>
      </c>
      <c r="F11" s="296"/>
      <c r="H11" s="56" t="s">
        <v>372</v>
      </c>
      <c r="I11" s="348">
        <v>249.36</v>
      </c>
      <c r="J11" s="159"/>
    </row>
    <row r="12" spans="1:10" s="57" customFormat="1" x14ac:dyDescent="0.3">
      <c r="A12" s="55"/>
      <c r="B12" s="55"/>
      <c r="C12" s="55" t="s">
        <v>166</v>
      </c>
      <c r="D12" s="59"/>
      <c r="E12" s="77">
        <v>0</v>
      </c>
      <c r="F12" s="297"/>
      <c r="I12" s="348">
        <f>SUM(I7:I11)</f>
        <v>54652.020000000004</v>
      </c>
      <c r="J12" s="159"/>
    </row>
    <row r="13" spans="1:10" s="57" customFormat="1" x14ac:dyDescent="0.3">
      <c r="A13" s="295"/>
      <c r="B13" s="295" t="s">
        <v>129</v>
      </c>
      <c r="C13" s="55" t="s">
        <v>123</v>
      </c>
      <c r="D13" s="59"/>
      <c r="E13" s="298">
        <f>-'แนบท้าย 9'!F11</f>
        <v>-988000</v>
      </c>
      <c r="F13" s="22"/>
      <c r="I13" s="159"/>
      <c r="J13" s="159"/>
    </row>
    <row r="14" spans="1:10" s="57" customFormat="1" x14ac:dyDescent="0.3">
      <c r="A14" s="295"/>
      <c r="B14" s="295"/>
      <c r="C14" s="55" t="s">
        <v>368</v>
      </c>
      <c r="D14" s="59"/>
      <c r="E14" s="340">
        <v>0</v>
      </c>
      <c r="F14" s="299">
        <f>SUM(E9:E14)</f>
        <v>-514913.2724999949</v>
      </c>
      <c r="I14" s="159"/>
      <c r="J14" s="159"/>
    </row>
    <row r="15" spans="1:10" s="57" customFormat="1" ht="21" thickBot="1" x14ac:dyDescent="0.35">
      <c r="A15" s="78" t="s">
        <v>476</v>
      </c>
      <c r="B15" s="78"/>
      <c r="C15" s="55"/>
      <c r="D15" s="59"/>
      <c r="E15" s="296"/>
      <c r="F15" s="83">
        <f>F5+F14</f>
        <v>10676007.637500005</v>
      </c>
      <c r="H15" s="58"/>
      <c r="I15" s="159"/>
      <c r="J15" s="159"/>
    </row>
    <row r="16" spans="1:10" s="57" customFormat="1" ht="16.5" customHeight="1" thickTop="1" x14ac:dyDescent="0.3">
      <c r="A16" s="55"/>
      <c r="B16" s="55"/>
      <c r="C16" s="55"/>
      <c r="D16" s="59"/>
      <c r="E16" s="59"/>
      <c r="F16" s="300"/>
      <c r="I16" s="159"/>
      <c r="J16" s="159"/>
    </row>
    <row r="17" spans="1:10" s="57" customFormat="1" x14ac:dyDescent="0.3">
      <c r="A17" s="78" t="s">
        <v>545</v>
      </c>
      <c r="B17" s="78"/>
      <c r="C17" s="55"/>
      <c r="D17" s="59"/>
      <c r="E17" s="297"/>
      <c r="F17" s="55"/>
      <c r="I17" s="159"/>
      <c r="J17" s="159"/>
    </row>
    <row r="18" spans="1:10" s="57" customFormat="1" x14ac:dyDescent="0.3">
      <c r="A18" s="55"/>
      <c r="B18" s="55" t="s">
        <v>124</v>
      </c>
      <c r="C18" s="55"/>
      <c r="D18" s="59"/>
      <c r="E18" s="59"/>
      <c r="F18" s="77">
        <v>1598015.75</v>
      </c>
      <c r="I18" s="159"/>
      <c r="J18" s="159"/>
    </row>
    <row r="19" spans="1:10" s="57" customFormat="1" x14ac:dyDescent="0.3">
      <c r="A19" s="55"/>
      <c r="B19" s="55" t="s">
        <v>125</v>
      </c>
      <c r="C19" s="55"/>
      <c r="D19" s="59"/>
      <c r="E19" s="59"/>
      <c r="F19" s="77">
        <f>งบแสดงฐานะการเงิน!E14</f>
        <v>126.35</v>
      </c>
      <c r="I19" s="159"/>
      <c r="J19" s="159"/>
    </row>
    <row r="20" spans="1:10" s="57" customFormat="1" x14ac:dyDescent="0.3">
      <c r="A20" s="55"/>
      <c r="B20" s="55" t="s">
        <v>170</v>
      </c>
      <c r="C20" s="55"/>
      <c r="D20" s="59"/>
      <c r="E20" s="59"/>
      <c r="F20" s="77">
        <v>0</v>
      </c>
      <c r="I20" s="159"/>
      <c r="J20" s="159"/>
    </row>
    <row r="21" spans="1:10" s="57" customFormat="1" x14ac:dyDescent="0.3">
      <c r="A21" s="55"/>
      <c r="B21" s="55" t="s">
        <v>171</v>
      </c>
      <c r="C21" s="55"/>
      <c r="D21" s="59"/>
      <c r="E21" s="59"/>
      <c r="F21" s="77">
        <f>F15-F18-F19</f>
        <v>9077865.5375000052</v>
      </c>
      <c r="I21" s="159"/>
      <c r="J21" s="159"/>
    </row>
    <row r="22" spans="1:10" s="57" customFormat="1" ht="21" thickBot="1" x14ac:dyDescent="0.35">
      <c r="A22" s="55"/>
      <c r="B22" s="55"/>
      <c r="C22" s="55"/>
      <c r="D22" s="59"/>
      <c r="E22" s="59"/>
      <c r="F22" s="301">
        <f>SUM(F18:F21)</f>
        <v>10676007.637500005</v>
      </c>
      <c r="H22" s="58">
        <f>F5+SUM(E10:E14)</f>
        <v>10260771.93</v>
      </c>
      <c r="I22" s="159">
        <v>10676007.640000001</v>
      </c>
      <c r="J22" s="159"/>
    </row>
    <row r="23" spans="1:10" s="57" customFormat="1" ht="21" thickTop="1" x14ac:dyDescent="0.3">
      <c r="A23" s="55"/>
      <c r="B23" s="55"/>
      <c r="C23" s="55"/>
      <c r="D23" s="55"/>
      <c r="E23" s="55"/>
      <c r="F23" s="302"/>
      <c r="I23" s="58">
        <f>I22-F22</f>
        <v>2.4999957531690598E-3</v>
      </c>
    </row>
    <row r="24" spans="1:10" s="57" customFormat="1" x14ac:dyDescent="0.3">
      <c r="A24" s="78"/>
      <c r="B24" s="55"/>
      <c r="C24" s="55" t="s">
        <v>546</v>
      </c>
      <c r="D24" s="55"/>
      <c r="E24" s="55"/>
      <c r="F24" s="302"/>
    </row>
    <row r="25" spans="1:10" s="57" customFormat="1" x14ac:dyDescent="0.3">
      <c r="A25" s="55" t="s">
        <v>172</v>
      </c>
      <c r="B25" s="55"/>
      <c r="C25" s="55"/>
      <c r="D25" s="55"/>
      <c r="E25" s="55"/>
      <c r="F25" s="302"/>
    </row>
    <row r="26" spans="1:10" ht="14.25" customHeight="1" x14ac:dyDescent="0.3"/>
  </sheetData>
  <mergeCells count="3">
    <mergeCell ref="A3:F3"/>
    <mergeCell ref="A2:F2"/>
    <mergeCell ref="A1:F1"/>
  </mergeCells>
  <pageMargins left="0.2" right="0.12" top="0.56999999999999995" bottom="0.15" header="0.3" footer="0.15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29"/>
  <sheetViews>
    <sheetView topLeftCell="A6" workbookViewId="0">
      <selection activeCell="B9" sqref="B9"/>
    </sheetView>
  </sheetViews>
  <sheetFormatPr defaultRowHeight="20.25" x14ac:dyDescent="0.3"/>
  <cols>
    <col min="1" max="1" width="4.140625" style="59" customWidth="1"/>
    <col min="2" max="2" width="51.85546875" style="59" customWidth="1"/>
    <col min="3" max="3" width="13.140625" style="59" customWidth="1"/>
    <col min="4" max="4" width="21.140625" style="59" customWidth="1"/>
    <col min="5" max="16384" width="9.140625" style="59"/>
  </cols>
  <sheetData>
    <row r="1" spans="1:5" ht="24.75" customHeight="1" x14ac:dyDescent="0.3">
      <c r="A1" s="514" t="s">
        <v>478</v>
      </c>
      <c r="B1" s="514"/>
      <c r="C1" s="514"/>
      <c r="D1" s="514"/>
    </row>
    <row r="2" spans="1:5" ht="24.75" customHeight="1" x14ac:dyDescent="0.3">
      <c r="A2" s="514" t="s">
        <v>438</v>
      </c>
      <c r="B2" s="514"/>
      <c r="C2" s="514"/>
      <c r="D2" s="514"/>
    </row>
    <row r="3" spans="1:5" ht="24.75" customHeight="1" x14ac:dyDescent="0.3">
      <c r="A3" s="334" t="s">
        <v>439</v>
      </c>
      <c r="B3" s="55" t="s">
        <v>440</v>
      </c>
      <c r="C3" s="55"/>
      <c r="D3" s="77">
        <f>งบแสดงผลการดำเนินงาน!D28</f>
        <v>36988757.910000004</v>
      </c>
      <c r="E3" s="335" t="s">
        <v>441</v>
      </c>
    </row>
    <row r="4" spans="1:5" ht="24.75" customHeight="1" x14ac:dyDescent="0.3">
      <c r="A4" s="334"/>
      <c r="B4" s="55" t="s">
        <v>442</v>
      </c>
      <c r="C4" s="55"/>
      <c r="D4" s="77">
        <f>งบแสดงผลการดำเนินงาน!D17</f>
        <v>36435110.299999997</v>
      </c>
      <c r="E4" s="335" t="s">
        <v>441</v>
      </c>
    </row>
    <row r="5" spans="1:5" ht="24.75" customHeight="1" x14ac:dyDescent="0.3">
      <c r="A5" s="334"/>
      <c r="B5" s="336" t="s">
        <v>443</v>
      </c>
      <c r="C5" s="336"/>
      <c r="D5" s="337">
        <f>D3-D4</f>
        <v>553647.61000000685</v>
      </c>
    </row>
    <row r="6" spans="1:5" ht="24.75" customHeight="1" x14ac:dyDescent="0.45">
      <c r="A6" s="334" t="s">
        <v>444</v>
      </c>
      <c r="B6" s="55" t="s">
        <v>445</v>
      </c>
      <c r="C6" s="55"/>
      <c r="D6" s="338">
        <f>D5*25/100</f>
        <v>138411.90250000171</v>
      </c>
    </row>
    <row r="7" spans="1:5" ht="24.75" customHeight="1" x14ac:dyDescent="0.3">
      <c r="A7" s="334"/>
      <c r="B7" s="55" t="s">
        <v>446</v>
      </c>
      <c r="C7" s="55"/>
      <c r="D7" s="339">
        <f>D5-D6</f>
        <v>415235.70750000514</v>
      </c>
    </row>
    <row r="8" spans="1:5" ht="24.75" customHeight="1" x14ac:dyDescent="0.3">
      <c r="A8" s="334" t="s">
        <v>447</v>
      </c>
      <c r="B8" s="55" t="s">
        <v>547</v>
      </c>
      <c r="C8" s="55"/>
      <c r="D8" s="340">
        <f>งบแสดงฐานะการเงิน!E14</f>
        <v>126.35</v>
      </c>
    </row>
    <row r="9" spans="1:5" ht="24.75" customHeight="1" thickBot="1" x14ac:dyDescent="0.35">
      <c r="A9" s="334"/>
      <c r="B9" s="341" t="s">
        <v>448</v>
      </c>
      <c r="C9" s="55"/>
      <c r="D9" s="301">
        <f>D7-D8</f>
        <v>415109.35750000516</v>
      </c>
    </row>
    <row r="10" spans="1:5" ht="24.75" customHeight="1" thickTop="1" x14ac:dyDescent="0.3">
      <c r="A10" s="334"/>
      <c r="B10" s="55" t="s">
        <v>449</v>
      </c>
      <c r="C10" s="55"/>
      <c r="D10" s="77"/>
    </row>
    <row r="11" spans="1:5" ht="24.75" customHeight="1" x14ac:dyDescent="0.3">
      <c r="A11" s="342"/>
      <c r="B11" s="55" t="s">
        <v>450</v>
      </c>
      <c r="C11" s="55"/>
      <c r="D11" s="77"/>
    </row>
    <row r="12" spans="1:5" ht="24.75" customHeight="1" x14ac:dyDescent="0.3">
      <c r="A12" s="342"/>
      <c r="B12" s="55" t="s">
        <v>451</v>
      </c>
      <c r="C12" s="343"/>
      <c r="D12" s="343">
        <f>D9*10/100</f>
        <v>41510.935750000514</v>
      </c>
    </row>
    <row r="13" spans="1:5" ht="24.75" customHeight="1" x14ac:dyDescent="0.3">
      <c r="A13" s="334"/>
      <c r="B13" s="55"/>
      <c r="C13" s="344"/>
      <c r="D13" s="77"/>
    </row>
    <row r="14" spans="1:5" ht="24.75" customHeight="1" x14ac:dyDescent="0.3">
      <c r="A14" s="334"/>
      <c r="B14" s="83"/>
      <c r="C14" s="344"/>
      <c r="D14" s="77"/>
    </row>
    <row r="15" spans="1:5" ht="24.75" customHeight="1" x14ac:dyDescent="0.3">
      <c r="B15" s="297"/>
      <c r="D15" s="297"/>
    </row>
    <row r="16" spans="1:5" ht="24.75" customHeight="1" x14ac:dyDescent="0.4">
      <c r="B16" s="345"/>
      <c r="D16" s="297"/>
    </row>
    <row r="17" spans="2:2" ht="24.75" customHeight="1" x14ac:dyDescent="0.3"/>
    <row r="18" spans="2:2" ht="24.75" customHeight="1" x14ac:dyDescent="0.3">
      <c r="B18" s="297"/>
    </row>
    <row r="19" spans="2:2" ht="24.75" customHeight="1" x14ac:dyDescent="0.3">
      <c r="B19" s="297"/>
    </row>
    <row r="20" spans="2:2" ht="24.75" customHeight="1" x14ac:dyDescent="0.3">
      <c r="B20" s="297"/>
    </row>
    <row r="21" spans="2:2" ht="24.75" customHeight="1" x14ac:dyDescent="0.3">
      <c r="B21" s="297"/>
    </row>
    <row r="22" spans="2:2" x14ac:dyDescent="0.3">
      <c r="B22" s="297"/>
    </row>
    <row r="26" spans="2:2" ht="17.25" customHeight="1" x14ac:dyDescent="0.3"/>
    <row r="29" spans="2:2" ht="14.25" customHeight="1" x14ac:dyDescent="0.3"/>
  </sheetData>
  <mergeCells count="2">
    <mergeCell ref="A1:D1"/>
    <mergeCell ref="A2:D2"/>
  </mergeCells>
  <pageMargins left="1.1399999999999999" right="0.41" top="0.56999999999999995" bottom="0.15" header="0.3" footer="0.1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4</vt:i4>
      </vt:variant>
    </vt:vector>
  </HeadingPairs>
  <TitlesOfParts>
    <vt:vector size="21" baseType="lpstr">
      <vt:lpstr>งบแสดงฐานะการเงิน</vt:lpstr>
      <vt:lpstr>หมายเหตุ1</vt:lpstr>
      <vt:lpstr>หมายเหตุ2</vt:lpstr>
      <vt:lpstr>หมายเหตุ3-5</vt:lpstr>
      <vt:lpstr>หมายเหตุ6</vt:lpstr>
      <vt:lpstr>หมายเหตุ 7</vt:lpstr>
      <vt:lpstr>หมายเหตุ8</vt:lpstr>
      <vt:lpstr>หมายเหตุ9</vt:lpstr>
      <vt:lpstr>กบท</vt:lpstr>
      <vt:lpstr>แนบท้าย 9</vt:lpstr>
      <vt:lpstr>งบแสดงผลการดำเนินงาน</vt:lpstr>
      <vt:lpstr>แยกแผนงาน</vt:lpstr>
      <vt:lpstr>งบแสดงผลฯจ่ายจากเงินสะสม</vt:lpstr>
      <vt:lpstr>หมายเหตุประกอบผลการดำเนินงาน1-2</vt:lpstr>
      <vt:lpstr>งบทดลองก่อนปิดบัญชี</vt:lpstr>
      <vt:lpstr>งบทดลองหลังปิดบัญชี</vt:lpstr>
      <vt:lpstr>กระดาษทำการ (ปป)</vt:lpstr>
      <vt:lpstr>งบทดลองก่อนปิดบัญชี!Print_Area</vt:lpstr>
      <vt:lpstr>งบทดลองหลังปิดบัญชี!Print_Area</vt:lpstr>
      <vt:lpstr>'หมายเหตุ 7'!Print_Titles</vt:lpstr>
      <vt:lpstr>หมายเหตุ6!Print_Titles</vt:lpstr>
    </vt:vector>
  </TitlesOfParts>
  <Company>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DosMissU</dc:creator>
  <cp:lastModifiedBy>Pee</cp:lastModifiedBy>
  <cp:lastPrinted>2017-10-15T06:26:02Z</cp:lastPrinted>
  <dcterms:created xsi:type="dcterms:W3CDTF">2015-11-11T01:31:10Z</dcterms:created>
  <dcterms:modified xsi:type="dcterms:W3CDTF">2018-10-05T09:37:59Z</dcterms:modified>
</cp:coreProperties>
</file>